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essandra costantin\Downloads\"/>
    </mc:Choice>
  </mc:AlternateContent>
  <xr:revisionPtr revIDLastSave="0" documentId="13_ncr:1_{FD8C8162-344D-4886-B964-19B1DA5B6921}" xr6:coauthVersionLast="47" xr6:coauthVersionMax="47" xr10:uidLastSave="{00000000-0000-0000-0000-000000000000}"/>
  <workbookProtection workbookAlgorithmName="SHA-512" workbookHashValue="tKCcNlzZEpLWcplJDayluhcTcuQQxSLSqknpT7aUM2rvoC50abAo6BOMttVHDDqhuJ6LKegzs1NaB6chKRBu8Q==" workbookSaltValue="e2Ml6Hm4XbgpL4RlvAMJCA==" workbookSpinCount="100000" lockStructure="1"/>
  <bookViews>
    <workbookView xWindow="-3156" yWindow="21504" windowWidth="23232" windowHeight="13872" tabRatio="577" xr2:uid="{00000000-000D-0000-FFFF-FFFF00000000}"/>
  </bookViews>
  <sheets>
    <sheet name="TID_test_plan" sheetId="1" r:id="rId1"/>
    <sheet name="ESTEC_Public_holidays" sheetId="9" state="hidden" r:id="rId2"/>
    <sheet name="ESTEC_work_hrs" sheetId="8" state="hidden" r:id="rId3"/>
    <sheet name="Source" sheetId="11" state="hidden" r:id="rId4"/>
    <sheet name="Unit_conversion" sheetId="10" state="hidden" r:id="rId5"/>
    <sheet name="Check_data" sheetId="2" state="hidden" r:id="rId6"/>
  </sheets>
  <definedNames>
    <definedName name="_xlnm._FilterDatabase" localSheetId="0" hidden="1">TID_test_plan!$IK$30:$IQ$60</definedName>
    <definedName name="Activity_at_reload_date">Source!$G$1</definedName>
    <definedName name="Co60constant">Source!$C$14</definedName>
    <definedName name="convert_units">Unit_conversion!$A$3:$G$29</definedName>
    <definedName name="Date_of_reload">Source!$C$1</definedName>
    <definedName name="Elements" comment="coeff. for adsorbed dose (water to the element)">Source!$P$9:$X$101</definedName>
    <definedName name="form_date">TID_test_plan!$N$4</definedName>
    <definedName name="format_date">TID_test_plan!$N$4</definedName>
    <definedName name="half_life">Source!$G$8</definedName>
    <definedName name="material_CF">Unit_conversion!$N$3:$O$29</definedName>
    <definedName name="_xlnm.Print_Area" localSheetId="0">TID_test_plan!$B$4:$S$41</definedName>
    <definedName name="Public_Holidays">ESTEC_Public_holidays!$A$1:$A$28</definedName>
    <definedName name="self_absorption_coefficient">Source!$E$5</definedName>
    <definedName name="Warning_messages">Check_data!$X$2:$Z$27</definedName>
    <definedName name="work_days">ESTEC_work_hrs!$A$3:$H$9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7" i="1" l="1"/>
  <c r="AP7" i="2" l="1"/>
  <c r="AU18" i="2"/>
  <c r="AS18" i="2"/>
  <c r="AR18" i="2"/>
  <c r="AQ18" i="2"/>
  <c r="AU17" i="2"/>
  <c r="AS17" i="2"/>
  <c r="AR17" i="2"/>
  <c r="AQ17" i="2"/>
  <c r="AU16" i="2"/>
  <c r="AS16" i="2"/>
  <c r="AR16" i="2"/>
  <c r="AQ16" i="2"/>
  <c r="AU15" i="2"/>
  <c r="AS15" i="2"/>
  <c r="AR15" i="2"/>
  <c r="AQ15" i="2"/>
  <c r="AU14" i="2"/>
  <c r="AS14" i="2"/>
  <c r="AR14" i="2"/>
  <c r="AQ14" i="2"/>
  <c r="AU13" i="2"/>
  <c r="AS13" i="2"/>
  <c r="AR13" i="2"/>
  <c r="AQ13" i="2"/>
  <c r="AU12" i="2"/>
  <c r="AS12" i="2"/>
  <c r="AR12" i="2"/>
  <c r="AQ12" i="2"/>
  <c r="AU11" i="2"/>
  <c r="AS11" i="2"/>
  <c r="AR11" i="2"/>
  <c r="AQ11" i="2"/>
  <c r="AU10" i="2"/>
  <c r="AS10" i="2"/>
  <c r="AR10" i="2"/>
  <c r="AQ10" i="2"/>
  <c r="AU9" i="2"/>
  <c r="AS9" i="2"/>
  <c r="AR9" i="2"/>
  <c r="AQ9" i="2"/>
  <c r="AU8" i="2"/>
  <c r="AS8" i="2"/>
  <c r="AR8" i="2"/>
  <c r="AQ8" i="2"/>
  <c r="AF4" i="2"/>
  <c r="AU7" i="2"/>
  <c r="AQ7" i="2"/>
  <c r="AS7" i="2"/>
  <c r="AR7" i="2"/>
  <c r="H38" i="1"/>
  <c r="AP18" i="2" s="1"/>
  <c r="AM18" i="2" s="1"/>
  <c r="AL18" i="2" s="1"/>
  <c r="H37" i="1"/>
  <c r="AP17" i="2" s="1"/>
  <c r="AM17" i="2" s="1"/>
  <c r="AL17" i="2" s="1"/>
  <c r="H36" i="1"/>
  <c r="AP16" i="2" s="1"/>
  <c r="AM16" i="2" s="1"/>
  <c r="AL16" i="2" s="1"/>
  <c r="H35" i="1"/>
  <c r="AP15" i="2" s="1"/>
  <c r="AM15" i="2" s="1"/>
  <c r="AL15" i="2" s="1"/>
  <c r="H34" i="1"/>
  <c r="AP14" i="2" s="1"/>
  <c r="AM14" i="2" s="1"/>
  <c r="AL14" i="2" s="1"/>
  <c r="H33" i="1"/>
  <c r="AP13" i="2" s="1"/>
  <c r="AM13" i="2" s="1"/>
  <c r="AL13" i="2" s="1"/>
  <c r="H32" i="1"/>
  <c r="AP12" i="2" s="1"/>
  <c r="AM12" i="2" s="1"/>
  <c r="AL12" i="2" s="1"/>
  <c r="H31" i="1"/>
  <c r="AP11" i="2" s="1"/>
  <c r="AM11" i="2" s="1"/>
  <c r="AL11" i="2" s="1"/>
  <c r="H30" i="1"/>
  <c r="AP10" i="2" s="1"/>
  <c r="AM10" i="2" s="1"/>
  <c r="AL10" i="2" s="1"/>
  <c r="I30" i="1"/>
  <c r="J30" i="1"/>
  <c r="K30" i="1"/>
  <c r="I31" i="1"/>
  <c r="J31" i="1"/>
  <c r="K31" i="1"/>
  <c r="I32" i="1"/>
  <c r="J32" i="1"/>
  <c r="K32" i="1"/>
  <c r="I33" i="1"/>
  <c r="J33" i="1"/>
  <c r="K33" i="1"/>
  <c r="I34" i="1"/>
  <c r="J34" i="1"/>
  <c r="K34" i="1"/>
  <c r="I35" i="1"/>
  <c r="J35" i="1"/>
  <c r="K35" i="1"/>
  <c r="I36" i="1"/>
  <c r="J36" i="1"/>
  <c r="K36" i="1"/>
  <c r="I37" i="1"/>
  <c r="J37" i="1"/>
  <c r="K37" i="1"/>
  <c r="I38" i="1"/>
  <c r="J38" i="1"/>
  <c r="K38" i="1"/>
  <c r="C18" i="2"/>
  <c r="C17" i="2"/>
  <c r="C16" i="2"/>
  <c r="C15" i="2"/>
  <c r="C14" i="2"/>
  <c r="C13" i="2"/>
  <c r="C12" i="2"/>
  <c r="C11" i="2"/>
  <c r="C10" i="2"/>
  <c r="C9" i="2"/>
  <c r="C8" i="2"/>
  <c r="C7" i="2"/>
  <c r="D18" i="2"/>
  <c r="D17" i="2"/>
  <c r="D16" i="2"/>
  <c r="D15" i="2"/>
  <c r="D14" i="2"/>
  <c r="D13" i="2"/>
  <c r="D12" i="2"/>
  <c r="D11" i="2"/>
  <c r="D10" i="2"/>
  <c r="D9" i="2"/>
  <c r="D8" i="2"/>
  <c r="D7" i="2"/>
  <c r="F6" i="2"/>
  <c r="E6" i="2"/>
  <c r="H29" i="1"/>
  <c r="K29" i="1" s="1"/>
  <c r="H28" i="1"/>
  <c r="K28" i="1" s="1"/>
  <c r="A3" i="8"/>
  <c r="A4" i="8" s="1"/>
  <c r="Q32" i="1"/>
  <c r="AF12" i="2" s="1"/>
  <c r="AG12" i="2" s="1"/>
  <c r="Q33" i="1"/>
  <c r="AF13" i="2" s="1"/>
  <c r="AG13" i="2" s="1"/>
  <c r="Q34" i="1"/>
  <c r="AF14" i="2" s="1"/>
  <c r="AG14" i="2" s="1"/>
  <c r="Q35" i="1"/>
  <c r="AF15" i="2" s="1"/>
  <c r="AG15" i="2" s="1"/>
  <c r="Q36" i="1"/>
  <c r="AF16" i="2" s="1"/>
  <c r="AG16" i="2" s="1"/>
  <c r="Q37" i="1"/>
  <c r="AF17" i="2" s="1"/>
  <c r="AG17" i="2" s="1"/>
  <c r="Q38" i="1"/>
  <c r="AF18" i="2" s="1"/>
  <c r="AG18" i="2" s="1"/>
  <c r="B33" i="2" l="1"/>
  <c r="E33" i="1" s="1"/>
  <c r="B34" i="2"/>
  <c r="O9" i="2"/>
  <c r="O10" i="2"/>
  <c r="O11" i="2"/>
  <c r="O12" i="2"/>
  <c r="O13" i="2"/>
  <c r="O14" i="2"/>
  <c r="O15" i="2"/>
  <c r="O16" i="2"/>
  <c r="O17" i="2"/>
  <c r="O18" i="2"/>
  <c r="B32" i="2"/>
  <c r="E32" i="1" s="1"/>
  <c r="B30" i="2"/>
  <c r="E30" i="1" s="1"/>
  <c r="B35" i="2"/>
  <c r="E35" i="1" s="1"/>
  <c r="B36" i="2"/>
  <c r="E36" i="1" s="1"/>
  <c r="AM7" i="2"/>
  <c r="AK12" i="2"/>
  <c r="E12" i="2" s="1"/>
  <c r="AP8" i="2"/>
  <c r="AM8" i="2" s="1"/>
  <c r="AL8" i="2" s="1"/>
  <c r="O8" i="2" s="1"/>
  <c r="AK15" i="2"/>
  <c r="E15" i="2" s="1"/>
  <c r="AK14" i="2"/>
  <c r="E14" i="2" s="1"/>
  <c r="AK13" i="2"/>
  <c r="E13" i="2" s="1"/>
  <c r="AP9" i="2"/>
  <c r="AM9" i="2" s="1"/>
  <c r="AL9" i="2" s="1"/>
  <c r="AK18" i="2"/>
  <c r="E18" i="2" s="1"/>
  <c r="AK16" i="2"/>
  <c r="E16" i="2" s="1"/>
  <c r="AK17" i="2"/>
  <c r="E17" i="2" s="1"/>
  <c r="B37" i="2"/>
  <c r="E37" i="1" s="1"/>
  <c r="B38" i="2"/>
  <c r="E38" i="1" s="1"/>
  <c r="K27" i="1"/>
  <c r="B27" i="2"/>
  <c r="E27" i="1" s="1"/>
  <c r="B28" i="2"/>
  <c r="E28" i="1" s="1"/>
  <c r="B31" i="2"/>
  <c r="E31" i="1" s="1"/>
  <c r="B29" i="2"/>
  <c r="E29" i="1" s="1"/>
  <c r="E34" i="1"/>
  <c r="M18" i="2"/>
  <c r="M13" i="2"/>
  <c r="N13" i="2"/>
  <c r="M14" i="2"/>
  <c r="N15" i="2"/>
  <c r="M16" i="2"/>
  <c r="N16" i="2"/>
  <c r="M17" i="2"/>
  <c r="N17" i="2"/>
  <c r="N18" i="2"/>
  <c r="M12" i="2"/>
  <c r="N12" i="2"/>
  <c r="N14" i="2"/>
  <c r="M15" i="2"/>
  <c r="J15" i="2"/>
  <c r="J16" i="2"/>
  <c r="J12" i="2"/>
  <c r="J13" i="2"/>
  <c r="J14" i="2"/>
  <c r="J17" i="2"/>
  <c r="H13" i="2"/>
  <c r="J18" i="2"/>
  <c r="H14" i="2"/>
  <c r="H15" i="2"/>
  <c r="H16" i="2"/>
  <c r="H17" i="2"/>
  <c r="H12" i="2"/>
  <c r="H18" i="2"/>
  <c r="A5" i="8"/>
  <c r="C4" i="8"/>
  <c r="C3" i="8"/>
  <c r="AL7" i="2" l="1"/>
  <c r="O7" i="2" s="1"/>
  <c r="E36" i="2"/>
  <c r="O36" i="1" s="1"/>
  <c r="E33" i="2"/>
  <c r="O33" i="1" s="1"/>
  <c r="E38" i="2"/>
  <c r="O38" i="1" s="1"/>
  <c r="E37" i="2"/>
  <c r="O37" i="1" s="1"/>
  <c r="E32" i="2"/>
  <c r="O32" i="1" s="1"/>
  <c r="E35" i="2"/>
  <c r="O35" i="1" s="1"/>
  <c r="E34" i="2"/>
  <c r="O34" i="1" s="1"/>
  <c r="C5" i="8"/>
  <c r="A6" i="8"/>
  <c r="A7" i="8" l="1"/>
  <c r="C6" i="8"/>
  <c r="A8" i="8" l="1"/>
  <c r="C7" i="8"/>
  <c r="A9" i="8" l="1"/>
  <c r="C9" i="8" s="1"/>
  <c r="C8" i="8"/>
  <c r="J8" i="1"/>
  <c r="L40" i="1"/>
  <c r="C35" i="11" l="1"/>
  <c r="C32" i="11"/>
  <c r="C33" i="11" s="1"/>
  <c r="C34" i="11" s="1"/>
  <c r="E29" i="11"/>
  <c r="F29" i="11" s="1"/>
  <c r="G29" i="11" s="1"/>
  <c r="C23" i="11"/>
  <c r="G22" i="11" l="1"/>
  <c r="D23" i="11"/>
  <c r="X101" i="11"/>
  <c r="X100" i="11"/>
  <c r="X99" i="11"/>
  <c r="X98" i="11"/>
  <c r="X97" i="11"/>
  <c r="X96" i="11"/>
  <c r="X95" i="11"/>
  <c r="X94" i="11"/>
  <c r="X93" i="11"/>
  <c r="X92" i="11"/>
  <c r="X91" i="11"/>
  <c r="X90" i="11"/>
  <c r="X89" i="11"/>
  <c r="X88" i="11"/>
  <c r="X87" i="11"/>
  <c r="X86" i="11"/>
  <c r="X85" i="11"/>
  <c r="X84" i="11"/>
  <c r="X83" i="11"/>
  <c r="X82" i="11"/>
  <c r="X81" i="11"/>
  <c r="X80" i="11"/>
  <c r="X79" i="11"/>
  <c r="X78" i="11"/>
  <c r="X77" i="11"/>
  <c r="X76" i="11"/>
  <c r="X75" i="11"/>
  <c r="X74" i="11"/>
  <c r="X73" i="11"/>
  <c r="X72" i="11"/>
  <c r="X71" i="11"/>
  <c r="X70" i="11"/>
  <c r="X69" i="11"/>
  <c r="X68" i="11"/>
  <c r="X67" i="11"/>
  <c r="X66" i="11"/>
  <c r="X65" i="11"/>
  <c r="X64" i="11"/>
  <c r="X63" i="11"/>
  <c r="X62" i="11"/>
  <c r="X61" i="11"/>
  <c r="X60" i="11"/>
  <c r="X59" i="11"/>
  <c r="X58" i="11"/>
  <c r="X57" i="11"/>
  <c r="X56" i="11"/>
  <c r="X55" i="11"/>
  <c r="X54" i="11"/>
  <c r="X53" i="11"/>
  <c r="X52" i="11"/>
  <c r="X51" i="11"/>
  <c r="X50" i="11"/>
  <c r="X49" i="11"/>
  <c r="X48" i="11"/>
  <c r="X47" i="11"/>
  <c r="X46" i="11"/>
  <c r="X45" i="11"/>
  <c r="X44" i="11"/>
  <c r="X43" i="11"/>
  <c r="X42" i="11"/>
  <c r="X41" i="11"/>
  <c r="X40" i="11"/>
  <c r="X39" i="11"/>
  <c r="X38" i="11"/>
  <c r="X37" i="11"/>
  <c r="X36" i="11"/>
  <c r="X35" i="11"/>
  <c r="X34" i="11"/>
  <c r="X33" i="11"/>
  <c r="X32" i="11"/>
  <c r="X31" i="11"/>
  <c r="X30" i="11"/>
  <c r="X29" i="11"/>
  <c r="X28" i="11"/>
  <c r="X27" i="11"/>
  <c r="X26" i="11"/>
  <c r="X25" i="11"/>
  <c r="X24" i="11"/>
  <c r="X23" i="11"/>
  <c r="X22" i="11"/>
  <c r="X21" i="11"/>
  <c r="X20" i="11"/>
  <c r="X19" i="11"/>
  <c r="X18" i="11"/>
  <c r="X17" i="11"/>
  <c r="X16" i="11"/>
  <c r="X15" i="11"/>
  <c r="X14" i="11"/>
  <c r="X13" i="11"/>
  <c r="X12" i="11"/>
  <c r="X11" i="11"/>
  <c r="X10" i="11"/>
  <c r="X9" i="11"/>
  <c r="C14" i="11"/>
  <c r="C11" i="11"/>
  <c r="C12" i="11" s="1"/>
  <c r="C13" i="11" s="1"/>
  <c r="E8" i="11"/>
  <c r="F8" i="11" s="1"/>
  <c r="G8" i="11" s="1"/>
  <c r="C2" i="11"/>
  <c r="G1" i="11" l="1"/>
  <c r="D2" i="11"/>
  <c r="L7" i="11" l="1"/>
  <c r="L6" i="11"/>
  <c r="N27" i="1" l="1"/>
  <c r="AE7" i="2" s="1"/>
  <c r="AH7" i="2" s="1"/>
  <c r="J13" i="1"/>
  <c r="H13" i="1"/>
  <c r="I13" i="1"/>
  <c r="AJ7" i="2" l="1"/>
  <c r="F7" i="2" s="1"/>
  <c r="L7" i="2"/>
  <c r="I27" i="1"/>
  <c r="J27" i="1" s="1"/>
  <c r="K7" i="2"/>
  <c r="G7" i="2"/>
  <c r="I7" i="2"/>
  <c r="Q27" i="1"/>
  <c r="AF7" i="2" s="1"/>
  <c r="AG7" i="2" s="1"/>
  <c r="AK7" i="2" s="1"/>
  <c r="E7" i="2" s="1"/>
  <c r="M27" i="1"/>
  <c r="I16" i="1"/>
  <c r="K25" i="1"/>
  <c r="F25" i="1"/>
  <c r="J25" i="1"/>
  <c r="I25" i="1"/>
  <c r="H25" i="1"/>
  <c r="D27" i="2" l="1"/>
  <c r="L27" i="1" s="1"/>
  <c r="N7" i="2"/>
  <c r="M7" i="2"/>
  <c r="J7" i="2"/>
  <c r="H7" i="2"/>
  <c r="N28" i="1"/>
  <c r="AE8" i="2" s="1"/>
  <c r="AH8" i="2" s="1"/>
  <c r="AJ8" i="2" s="1"/>
  <c r="P27" i="1"/>
  <c r="I28" i="1" l="1"/>
  <c r="J28" i="1" s="1"/>
  <c r="F8" i="2"/>
  <c r="B7" i="2"/>
  <c r="R27" i="1" s="1"/>
  <c r="E27" i="2"/>
  <c r="O27" i="1" s="1"/>
  <c r="K8" i="2"/>
  <c r="L8" i="2"/>
  <c r="C27" i="2"/>
  <c r="G27" i="1" s="1"/>
  <c r="G8" i="2"/>
  <c r="I8" i="2"/>
  <c r="Q28" i="1"/>
  <c r="AF8" i="2" l="1"/>
  <c r="AG8" i="2" s="1"/>
  <c r="AK8" i="2" s="1"/>
  <c r="E8" i="2" s="1"/>
  <c r="D28" i="2"/>
  <c r="L28" i="1" s="1"/>
  <c r="M8" i="2"/>
  <c r="N8" i="2"/>
  <c r="H8" i="2"/>
  <c r="J8" i="2"/>
  <c r="N29" i="1"/>
  <c r="M28" i="1"/>
  <c r="I29" i="1" l="1"/>
  <c r="J29" i="1" s="1"/>
  <c r="AE9" i="2"/>
  <c r="AH9" i="2" s="1"/>
  <c r="AJ9" i="2" s="1"/>
  <c r="F9" i="2" s="1"/>
  <c r="B8" i="2"/>
  <c r="R28" i="1" s="1"/>
  <c r="C28" i="2"/>
  <c r="G28" i="1" s="1"/>
  <c r="E28" i="2"/>
  <c r="O28" i="1" s="1"/>
  <c r="K9" i="2"/>
  <c r="L9" i="2"/>
  <c r="G9" i="2"/>
  <c r="I9" i="2"/>
  <c r="Q29" i="1"/>
  <c r="AF9" i="2" s="1"/>
  <c r="AG9" i="2" s="1"/>
  <c r="AK9" i="2" s="1"/>
  <c r="E9" i="2" s="1"/>
  <c r="M29" i="1"/>
  <c r="P28" i="1"/>
  <c r="D29" i="2" l="1"/>
  <c r="L29" i="1" s="1"/>
  <c r="N9" i="2"/>
  <c r="M9" i="2"/>
  <c r="H9" i="2"/>
  <c r="J9" i="2"/>
  <c r="P29" i="1"/>
  <c r="N30" i="1"/>
  <c r="AE10" i="2" s="1"/>
  <c r="AH10" i="2" s="1"/>
  <c r="AJ10" i="2" s="1"/>
  <c r="F10" i="2" s="1"/>
  <c r="B9" i="2" l="1"/>
  <c r="R29" i="1" s="1"/>
  <c r="E29" i="2"/>
  <c r="O29" i="1" s="1"/>
  <c r="C29" i="2"/>
  <c r="G29" i="1" s="1"/>
  <c r="K10" i="2"/>
  <c r="L10" i="2"/>
  <c r="G10" i="2"/>
  <c r="I10" i="2"/>
  <c r="Q30" i="1"/>
  <c r="AF10" i="2" s="1"/>
  <c r="AG10" i="2" s="1"/>
  <c r="AK10" i="2" s="1"/>
  <c r="E10" i="2" s="1"/>
  <c r="M30" i="1"/>
  <c r="D30" i="2" l="1"/>
  <c r="L30" i="1" s="1"/>
  <c r="N10" i="2"/>
  <c r="M10" i="2"/>
  <c r="H10" i="2"/>
  <c r="J10" i="2"/>
  <c r="N31" i="1"/>
  <c r="AE11" i="2" s="1"/>
  <c r="AH11" i="2" s="1"/>
  <c r="AJ11" i="2" s="1"/>
  <c r="F11" i="2" s="1"/>
  <c r="N32" i="1"/>
  <c r="AE12" i="2" s="1"/>
  <c r="AH12" i="2" s="1"/>
  <c r="AJ12" i="2" s="1"/>
  <c r="F12" i="2" s="1"/>
  <c r="C32" i="2" s="1"/>
  <c r="G32" i="1" s="1"/>
  <c r="P30" i="1"/>
  <c r="B10" i="2" l="1"/>
  <c r="R30" i="1" s="1"/>
  <c r="C30" i="2"/>
  <c r="G30" i="1" s="1"/>
  <c r="E30" i="2"/>
  <c r="O30" i="1" s="1"/>
  <c r="K11" i="2"/>
  <c r="L11" i="2"/>
  <c r="K12" i="2"/>
  <c r="L12" i="2"/>
  <c r="I11" i="2"/>
  <c r="G12" i="2"/>
  <c r="I12" i="2"/>
  <c r="G11" i="2"/>
  <c r="Q31" i="1"/>
  <c r="AF11" i="2" s="1"/>
  <c r="AG11" i="2" s="1"/>
  <c r="AK11" i="2" s="1"/>
  <c r="E11" i="2" s="1"/>
  <c r="M31" i="1"/>
  <c r="B12" i="2" l="1"/>
  <c r="R32" i="1" s="1"/>
  <c r="D32" i="2"/>
  <c r="L32" i="1" s="1"/>
  <c r="D31" i="2"/>
  <c r="L31" i="1" s="1"/>
  <c r="N11" i="2"/>
  <c r="M11" i="2"/>
  <c r="H11" i="2"/>
  <c r="J11" i="2"/>
  <c r="N33" i="1"/>
  <c r="AE13" i="2" s="1"/>
  <c r="AH13" i="2" s="1"/>
  <c r="AJ13" i="2" s="1"/>
  <c r="F13" i="2" s="1"/>
  <c r="C33" i="2" s="1"/>
  <c r="G33" i="1" s="1"/>
  <c r="P31" i="1"/>
  <c r="B11" i="2" l="1"/>
  <c r="R31" i="1" s="1"/>
  <c r="C31" i="2"/>
  <c r="G31" i="1" s="1"/>
  <c r="E31" i="2"/>
  <c r="O31" i="1" s="1"/>
  <c r="K13" i="2"/>
  <c r="L13" i="2"/>
  <c r="G13" i="2"/>
  <c r="I13" i="2"/>
  <c r="M32" i="1"/>
  <c r="B13" i="2" l="1"/>
  <c r="R33" i="1" s="1"/>
  <c r="D33" i="2"/>
  <c r="L33" i="1" s="1"/>
  <c r="N34" i="1"/>
  <c r="AE14" i="2" s="1"/>
  <c r="AH14" i="2" s="1"/>
  <c r="AJ14" i="2" s="1"/>
  <c r="F14" i="2" s="1"/>
  <c r="C34" i="2" s="1"/>
  <c r="G34" i="1" s="1"/>
  <c r="P32" i="1"/>
  <c r="K14" i="2" l="1"/>
  <c r="L14" i="2"/>
  <c r="G14" i="2"/>
  <c r="I14" i="2"/>
  <c r="M33" i="1"/>
  <c r="B14" i="2" l="1"/>
  <c r="R34" i="1" s="1"/>
  <c r="D34" i="2"/>
  <c r="L34" i="1" s="1"/>
  <c r="N35" i="1"/>
  <c r="AE15" i="2" s="1"/>
  <c r="AH15" i="2" s="1"/>
  <c r="AJ15" i="2" s="1"/>
  <c r="F15" i="2" s="1"/>
  <c r="C35" i="2" s="1"/>
  <c r="G35" i="1" s="1"/>
  <c r="P33" i="1"/>
  <c r="K15" i="2" l="1"/>
  <c r="L15" i="2"/>
  <c r="G15" i="2"/>
  <c r="I15" i="2"/>
  <c r="M34" i="1"/>
  <c r="B15" i="2" l="1"/>
  <c r="R35" i="1" s="1"/>
  <c r="D35" i="2"/>
  <c r="L35" i="1" s="1"/>
  <c r="N36" i="1"/>
  <c r="AE16" i="2" s="1"/>
  <c r="AH16" i="2" s="1"/>
  <c r="AJ16" i="2" s="1"/>
  <c r="F16" i="2" s="1"/>
  <c r="C36" i="2" s="1"/>
  <c r="G36" i="1" s="1"/>
  <c r="P34" i="1"/>
  <c r="K16" i="2" l="1"/>
  <c r="L16" i="2"/>
  <c r="G16" i="2"/>
  <c r="I16" i="2"/>
  <c r="M35" i="1"/>
  <c r="B16" i="2" l="1"/>
  <c r="R36" i="1" s="1"/>
  <c r="D36" i="2"/>
  <c r="L36" i="1" s="1"/>
  <c r="N37" i="1"/>
  <c r="AE17" i="2" s="1"/>
  <c r="AH17" i="2" s="1"/>
  <c r="AJ17" i="2" s="1"/>
  <c r="F17" i="2" s="1"/>
  <c r="C37" i="2" s="1"/>
  <c r="G37" i="1" s="1"/>
  <c r="P35" i="1"/>
  <c r="K17" i="2" l="1"/>
  <c r="L17" i="2"/>
  <c r="G17" i="2"/>
  <c r="I17" i="2"/>
  <c r="M36" i="1"/>
  <c r="B17" i="2" l="1"/>
  <c r="R37" i="1" s="1"/>
  <c r="D37" i="2"/>
  <c r="L37" i="1" s="1"/>
  <c r="N38" i="1"/>
  <c r="AE18" i="2" s="1"/>
  <c r="AH18" i="2" s="1"/>
  <c r="AJ18" i="2" s="1"/>
  <c r="F18" i="2" s="1"/>
  <c r="C38" i="2" s="1"/>
  <c r="G38" i="1" s="1"/>
  <c r="P36" i="1"/>
  <c r="K18" i="2" l="1"/>
  <c r="L18" i="2"/>
  <c r="G18" i="2"/>
  <c r="I18" i="2"/>
  <c r="M37" i="1"/>
  <c r="B18" i="2" l="1"/>
  <c r="R38" i="1" s="1"/>
  <c r="D38" i="2"/>
  <c r="L38" i="1" s="1"/>
  <c r="N40" i="1"/>
  <c r="P37" i="1"/>
  <c r="M38" i="1" l="1"/>
  <c r="M40" i="1" l="1"/>
  <c r="P38" i="1"/>
</calcChain>
</file>

<file path=xl/sharedStrings.xml><?xml version="1.0" encoding="utf-8"?>
<sst xmlns="http://schemas.openxmlformats.org/spreadsheetml/2006/main" count="571" uniqueCount="425">
  <si>
    <t>Start</t>
  </si>
  <si>
    <t>Run</t>
  </si>
  <si>
    <t>Stop</t>
  </si>
  <si>
    <t>rad</t>
  </si>
  <si>
    <t>min</t>
  </si>
  <si>
    <t>Planned Irradiation Steps</t>
  </si>
  <si>
    <t xml:space="preserve">Start Date &amp; Time: </t>
  </si>
  <si>
    <t>cm</t>
  </si>
  <si>
    <t>mm</t>
  </si>
  <si>
    <t>s</t>
  </si>
  <si>
    <t>m</t>
  </si>
  <si>
    <t>Gy</t>
  </si>
  <si>
    <t>Time</t>
  </si>
  <si>
    <t>Distance</t>
  </si>
  <si>
    <t>hrs</t>
  </si>
  <si>
    <t>Estimated Distance</t>
  </si>
  <si>
    <t>Irradiation Time</t>
  </si>
  <si>
    <t>krad</t>
  </si>
  <si>
    <t>Default Dose Rate :</t>
  </si>
  <si>
    <t xml:space="preserve"> ESTEC Public Holidays</t>
  </si>
  <si>
    <t>warning message</t>
  </si>
  <si>
    <t>revision:</t>
  </si>
  <si>
    <t>End of Test</t>
  </si>
  <si>
    <t>Remarks</t>
  </si>
  <si>
    <t>TID Decreases</t>
  </si>
  <si>
    <t>4) Define the "Default Dose Rate"</t>
  </si>
  <si>
    <t>Instructions</t>
  </si>
  <si>
    <t xml:space="preserve">Intermediate measurement duration [hrs]: </t>
  </si>
  <si>
    <t>1) Select the "Start date &amp; time" of the irradiation campaign</t>
  </si>
  <si>
    <t>Convert Units</t>
  </si>
  <si>
    <t>X-Ray Mass Attenuation Coefficients</t>
  </si>
  <si>
    <r>
      <t>Table 1.</t>
    </r>
    <r>
      <rPr>
        <sz val="11"/>
        <color theme="1"/>
        <rFont val="Calibri"/>
        <family val="2"/>
        <scheme val="minor"/>
      </rPr>
      <t xml:space="preserve"> Material constants assumed in the present evaluations for elemental media. Values are given for the ratio of atomic number-to-mass </t>
    </r>
    <r>
      <rPr>
        <i/>
        <sz val="11"/>
        <color theme="1"/>
        <rFont val="Calibri"/>
        <family val="2"/>
        <scheme val="minor"/>
      </rPr>
      <t>Z</t>
    </r>
    <r>
      <rPr>
        <sz val="11"/>
        <color theme="1"/>
        <rFont val="Calibri"/>
        <family val="2"/>
        <scheme val="minor"/>
      </rPr>
      <t>/</t>
    </r>
    <r>
      <rPr>
        <i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,</t>
    </r>
  </si>
  <si>
    <r>
      <rPr>
        <sz val="11"/>
        <color theme="1"/>
        <rFont val="Calibri"/>
        <family val="2"/>
        <scheme val="minor"/>
      </rPr>
      <t xml:space="preserve">                 </t>
    </r>
    <r>
      <rPr>
        <sz val="11"/>
        <color theme="1"/>
        <rFont val="Calibri"/>
        <family val="2"/>
        <scheme val="minor"/>
      </rPr>
      <t xml:space="preserve"> the mean excitation energy </t>
    </r>
    <r>
      <rPr>
        <i/>
        <sz val="11"/>
        <color theme="1"/>
        <rFont val="Calibri"/>
        <family val="2"/>
        <scheme val="minor"/>
      </rPr>
      <t>I,</t>
    </r>
    <r>
      <rPr>
        <sz val="11"/>
        <color theme="1"/>
        <rFont val="Calibri"/>
        <family val="2"/>
        <scheme val="minor"/>
      </rPr>
      <t xml:space="preserve"> and the density </t>
    </r>
    <r>
      <rPr>
        <i/>
        <sz val="11"/>
        <color theme="1"/>
        <rFont val="Calibri"/>
        <family val="2"/>
        <scheme val="minor"/>
      </rPr>
      <t>ρ</t>
    </r>
    <r>
      <rPr>
        <sz val="11"/>
        <color theme="1"/>
        <rFont val="Calibri"/>
        <family val="2"/>
        <scheme val="minor"/>
      </rPr>
      <t xml:space="preserve">. Some density values are only nominal; those for </t>
    </r>
    <r>
      <rPr>
        <i/>
        <sz val="11"/>
        <color theme="1"/>
        <rFont val="Calibri"/>
        <family val="2"/>
        <scheme val="minor"/>
      </rPr>
      <t>Z</t>
    </r>
    <r>
      <rPr>
        <sz val="11"/>
        <color theme="1"/>
        <rFont val="Calibri"/>
        <family val="2"/>
        <scheme val="minor"/>
      </rPr>
      <t> = 85 and 87 were arbitrarily set to 10 in order to complete the calculations.</t>
    </r>
  </si>
  <si>
    <t>Z</t>
  </si>
  <si>
    <t>Element</t>
  </si>
  <si>
    <r>
      <t>Z</t>
    </r>
    <r>
      <rPr>
        <b/>
        <sz val="11"/>
        <color theme="1"/>
        <rFont val="Calibri"/>
        <family val="2"/>
        <scheme val="minor"/>
      </rPr>
      <t>/</t>
    </r>
    <r>
      <rPr>
        <b/>
        <i/>
        <sz val="11"/>
        <color theme="1"/>
        <rFont val="Calibri"/>
        <family val="2"/>
        <scheme val="minor"/>
      </rPr>
      <t>A</t>
    </r>
  </si>
  <si>
    <t>I</t>
  </si>
  <si>
    <t>Density</t>
  </si>
  <si>
    <t>(eV)</t>
  </si>
  <si>
    <r>
      <t>(g/cm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)</t>
    </r>
  </si>
  <si>
    <t>H</t>
  </si>
  <si>
    <t>Hydrogen</t>
  </si>
  <si>
    <t>He</t>
  </si>
  <si>
    <t>Helium</t>
  </si>
  <si>
    <t>Li</t>
  </si>
  <si>
    <t>Lithium</t>
  </si>
  <si>
    <t>Be</t>
  </si>
  <si>
    <t>Beryllium</t>
  </si>
  <si>
    <t>B</t>
  </si>
  <si>
    <t>Boron</t>
  </si>
  <si>
    <t>C</t>
  </si>
  <si>
    <t>Carbon, Graphite</t>
  </si>
  <si>
    <t>N</t>
  </si>
  <si>
    <t>Nitrogen</t>
  </si>
  <si>
    <t>O</t>
  </si>
  <si>
    <t>Oxygen</t>
  </si>
  <si>
    <t>F</t>
  </si>
  <si>
    <t>Fluorine</t>
  </si>
  <si>
    <t>Ne</t>
  </si>
  <si>
    <t>Neon</t>
  </si>
  <si>
    <t>Na</t>
  </si>
  <si>
    <t>Sodium</t>
  </si>
  <si>
    <t>Mg</t>
  </si>
  <si>
    <t>Magnesium</t>
  </si>
  <si>
    <t>Al</t>
  </si>
  <si>
    <t>Aluminum</t>
  </si>
  <si>
    <t>Si</t>
  </si>
  <si>
    <t>Silicon</t>
  </si>
  <si>
    <t>P</t>
  </si>
  <si>
    <t>Phosphorus</t>
  </si>
  <si>
    <t>S</t>
  </si>
  <si>
    <t>Sulfur</t>
  </si>
  <si>
    <t>Cl</t>
  </si>
  <si>
    <t>Chlorine</t>
  </si>
  <si>
    <t>Ar</t>
  </si>
  <si>
    <t>Argon</t>
  </si>
  <si>
    <t>K</t>
  </si>
  <si>
    <t>Potassium</t>
  </si>
  <si>
    <t>Ca</t>
  </si>
  <si>
    <t>Calcium</t>
  </si>
  <si>
    <t>Sc</t>
  </si>
  <si>
    <t>Scandium</t>
  </si>
  <si>
    <t>Ti</t>
  </si>
  <si>
    <t>Titanium</t>
  </si>
  <si>
    <t>V</t>
  </si>
  <si>
    <t>Vanadium</t>
  </si>
  <si>
    <t>Cr</t>
  </si>
  <si>
    <t>Chromium</t>
  </si>
  <si>
    <t>Mn</t>
  </si>
  <si>
    <t>Manganese</t>
  </si>
  <si>
    <t>Fe</t>
  </si>
  <si>
    <t>Iron</t>
  </si>
  <si>
    <t>Co</t>
  </si>
  <si>
    <t>Cobalt</t>
  </si>
  <si>
    <t>Ni</t>
  </si>
  <si>
    <t>Nickel</t>
  </si>
  <si>
    <t>Cu</t>
  </si>
  <si>
    <t>Copper</t>
  </si>
  <si>
    <t>Zn</t>
  </si>
  <si>
    <t>Zinc</t>
  </si>
  <si>
    <t>Ga</t>
  </si>
  <si>
    <t>Gallium</t>
  </si>
  <si>
    <t>Ge</t>
  </si>
  <si>
    <t>Germanium</t>
  </si>
  <si>
    <t>As</t>
  </si>
  <si>
    <t>Arsenic</t>
  </si>
  <si>
    <t>Se</t>
  </si>
  <si>
    <t>Selenium</t>
  </si>
  <si>
    <t>Br</t>
  </si>
  <si>
    <t>Bromine</t>
  </si>
  <si>
    <t>Kr</t>
  </si>
  <si>
    <t>Krypton</t>
  </si>
  <si>
    <t>Rb</t>
  </si>
  <si>
    <t>Rubidium</t>
  </si>
  <si>
    <t>Sr</t>
  </si>
  <si>
    <t>Strontium</t>
  </si>
  <si>
    <t>Y</t>
  </si>
  <si>
    <t>Yttrium</t>
  </si>
  <si>
    <t>Zr</t>
  </si>
  <si>
    <t>Zirconium</t>
  </si>
  <si>
    <t>Nb</t>
  </si>
  <si>
    <t>Niobium</t>
  </si>
  <si>
    <t>Mo</t>
  </si>
  <si>
    <t>Molybdenum</t>
  </si>
  <si>
    <t>Tc</t>
  </si>
  <si>
    <t>Technetium</t>
  </si>
  <si>
    <t>Ru</t>
  </si>
  <si>
    <t>Ruthenium</t>
  </si>
  <si>
    <t>Rh</t>
  </si>
  <si>
    <t>Rhodium</t>
  </si>
  <si>
    <t>Pd</t>
  </si>
  <si>
    <t>Palladium</t>
  </si>
  <si>
    <t>Ag</t>
  </si>
  <si>
    <t>Silver</t>
  </si>
  <si>
    <t>Cd</t>
  </si>
  <si>
    <t>Cadmium</t>
  </si>
  <si>
    <t>In</t>
  </si>
  <si>
    <t>Indium</t>
  </si>
  <si>
    <t>Sn</t>
  </si>
  <si>
    <t>Tin</t>
  </si>
  <si>
    <t>Sb</t>
  </si>
  <si>
    <t>Antimony</t>
  </si>
  <si>
    <t>Te</t>
  </si>
  <si>
    <t>Tellurium</t>
  </si>
  <si>
    <t>Iodine</t>
  </si>
  <si>
    <t>Xe</t>
  </si>
  <si>
    <t>Xenon</t>
  </si>
  <si>
    <t>Cs</t>
  </si>
  <si>
    <t>Cesium</t>
  </si>
  <si>
    <t>Ba</t>
  </si>
  <si>
    <t>Barium</t>
  </si>
  <si>
    <t>La</t>
  </si>
  <si>
    <t>Lanthanum</t>
  </si>
  <si>
    <t>Ce</t>
  </si>
  <si>
    <t>Cerium</t>
  </si>
  <si>
    <t>Pr</t>
  </si>
  <si>
    <t>Praseodymium</t>
  </si>
  <si>
    <t>Nd</t>
  </si>
  <si>
    <t>Neodymium</t>
  </si>
  <si>
    <t>Pm</t>
  </si>
  <si>
    <t>Promethium</t>
  </si>
  <si>
    <t>Sm</t>
  </si>
  <si>
    <t>Samarium</t>
  </si>
  <si>
    <t>Eu</t>
  </si>
  <si>
    <t>Europium</t>
  </si>
  <si>
    <t>Gd</t>
  </si>
  <si>
    <t>Gadolinium</t>
  </si>
  <si>
    <t>Tb</t>
  </si>
  <si>
    <t>Terbium</t>
  </si>
  <si>
    <t>Dy</t>
  </si>
  <si>
    <t>Dysprosium</t>
  </si>
  <si>
    <t>Ho</t>
  </si>
  <si>
    <t>Holmium</t>
  </si>
  <si>
    <t>Er</t>
  </si>
  <si>
    <t>Erbium</t>
  </si>
  <si>
    <t>Tm</t>
  </si>
  <si>
    <t>Thulium</t>
  </si>
  <si>
    <t>Yb</t>
  </si>
  <si>
    <t>Ytterbium</t>
  </si>
  <si>
    <t>Lu</t>
  </si>
  <si>
    <t>Lutetium</t>
  </si>
  <si>
    <t>Hf</t>
  </si>
  <si>
    <t>Hafnium</t>
  </si>
  <si>
    <t>Ta</t>
  </si>
  <si>
    <t>Tantalum</t>
  </si>
  <si>
    <t>W</t>
  </si>
  <si>
    <t>Tungsten</t>
  </si>
  <si>
    <t>Re</t>
  </si>
  <si>
    <t>Rhenium</t>
  </si>
  <si>
    <t>Os</t>
  </si>
  <si>
    <t>Osmium</t>
  </si>
  <si>
    <t>Ir</t>
  </si>
  <si>
    <t>Iridium</t>
  </si>
  <si>
    <t>Pt</t>
  </si>
  <si>
    <t>Platinum</t>
  </si>
  <si>
    <t>Au</t>
  </si>
  <si>
    <t>Gold</t>
  </si>
  <si>
    <t>Hg</t>
  </si>
  <si>
    <t>Mercury</t>
  </si>
  <si>
    <t>Tl</t>
  </si>
  <si>
    <t>Thallium</t>
  </si>
  <si>
    <t>Pb</t>
  </si>
  <si>
    <t>Lead</t>
  </si>
  <si>
    <t>Bi</t>
  </si>
  <si>
    <t>Bismuth</t>
  </si>
  <si>
    <t>Po</t>
  </si>
  <si>
    <t>Polonium</t>
  </si>
  <si>
    <t>At</t>
  </si>
  <si>
    <t>Astatine</t>
  </si>
  <si>
    <t>Rn</t>
  </si>
  <si>
    <t>Radon</t>
  </si>
  <si>
    <t>Fr</t>
  </si>
  <si>
    <t>Francium</t>
  </si>
  <si>
    <t>Ra</t>
  </si>
  <si>
    <t>Radium</t>
  </si>
  <si>
    <t>Ac</t>
  </si>
  <si>
    <t>Actinium</t>
  </si>
  <si>
    <t>Th</t>
  </si>
  <si>
    <t>Thorium</t>
  </si>
  <si>
    <t>Pa</t>
  </si>
  <si>
    <t>Protactinium</t>
  </si>
  <si>
    <t>U</t>
  </si>
  <si>
    <t>Uranium</t>
  </si>
  <si>
    <t>Water, Liquid</t>
  </si>
  <si>
    <t>Table 2. Material constants and composition assumed in the present evaluations for compounds and mixtures.</t>
  </si>
  <si>
    <t xml:space="preserve">                  Values are given for the mean ratio of atomic number-to-mass Z/A, the mean excitation energy I, and the density ρ. Some density values are only nominal.</t>
  </si>
  <si>
    <t>Material</t>
  </si>
  <si>
    <t>&lt;Z/A&gt;</t>
  </si>
  <si>
    <t>Composition</t>
  </si>
  <si>
    <t>(g/cm3)</t>
  </si>
  <si>
    <t>(Z:</t>
  </si>
  <si>
    <t xml:space="preserve"> fraction by weight)</t>
  </si>
  <si>
    <t>Alanine</t>
  </si>
  <si>
    <t>Air, Dry (near sea level)</t>
  </si>
  <si>
    <t>Bakelite</t>
  </si>
  <si>
    <t>C-552 Air-equivalent Plastic</t>
  </si>
  <si>
    <t>Concrete, Ordinary</t>
  </si>
  <si>
    <t>Concrete, Barite (TYPE BA)</t>
  </si>
  <si>
    <t>Gallium Arsenide</t>
  </si>
  <si>
    <t>Glass, Borosilicate (Pyrex)</t>
  </si>
  <si>
    <t>Glass, Lead</t>
  </si>
  <si>
    <t>Polymethyl Methacrylate</t>
  </si>
  <si>
    <t>(Z: fraction</t>
  </si>
  <si>
    <t>by weight)</t>
  </si>
  <si>
    <t>B-100 Bone-Equivalent Plastic</t>
  </si>
  <si>
    <t>Blood, Whole (ICRU-44)</t>
  </si>
  <si>
    <t>Bone, Cortical (ICRU-44)</t>
  </si>
  <si>
    <t>Brain, Grey/White Matter (ICRU-44)</t>
  </si>
  <si>
    <t>Breast Tissue (ICRU-44)</t>
  </si>
  <si>
    <t>Cadmium Telluride</t>
  </si>
  <si>
    <t>Calcium Fluoride</t>
  </si>
  <si>
    <t>Calcium Sulfate</t>
  </si>
  <si>
    <t>15 mmol L-1 Ceric Ammonium Sulfate Solution</t>
  </si>
  <si>
    <t>Cesium Iodide</t>
  </si>
  <si>
    <t>Eye Lens (ICRU-44)</t>
  </si>
  <si>
    <t>Ferrous Sulfate Standard Fricke</t>
  </si>
  <si>
    <t>Gadolinium Oxysulfide</t>
  </si>
  <si>
    <t>Gafchromic Sensor</t>
  </si>
  <si>
    <t>Lithium Fluride</t>
  </si>
  <si>
    <t>Lithium Tetraborate</t>
  </si>
  <si>
    <t>Lung Tissue (ICRU-44)</t>
  </si>
  <si>
    <t>Magnesium Tetroborate</t>
  </si>
  <si>
    <t>Mercuric Iodide</t>
  </si>
  <si>
    <t>Muscle, Skeletal (ICRU-44)</t>
  </si>
  <si>
    <t>Ovary (ICRU-44)</t>
  </si>
  <si>
    <t>Photographic Emulsion (Kodak Type AA)</t>
  </si>
  <si>
    <t>Photographic Emulsion (Standard Nuclear)</t>
  </si>
  <si>
    <t>Plastic Scintillator, Vinyltoluene</t>
  </si>
  <si>
    <t>Polyethylene</t>
  </si>
  <si>
    <t>Polyethylene Terephthalate, (Mylar)</t>
  </si>
  <si>
    <t>Polystyrene</t>
  </si>
  <si>
    <t>Polytetrafluoroethylene, (Teflon)</t>
  </si>
  <si>
    <t>Polyvinyl Chloride</t>
  </si>
  <si>
    <t>Radiochromic Dye Film, Nylon Base</t>
  </si>
  <si>
    <t>Testis (ICRU-44)</t>
  </si>
  <si>
    <t>Tissue, Soft (ICRU-44)</t>
  </si>
  <si>
    <t>Tissue, Soft (ICRU Four-Component)</t>
  </si>
  <si>
    <t>Tissue-Equivalent Gas, Methane Based</t>
  </si>
  <si>
    <t>Tissue-Equivalent Gas, Propane Based</t>
  </si>
  <si>
    <t>Water</t>
  </si>
  <si>
    <t>Target Dose Rate (*)</t>
  </si>
  <si>
    <t>3) Select the units with the arrows</t>
  </si>
  <si>
    <t>3)</t>
  </si>
  <si>
    <t>4)</t>
  </si>
  <si>
    <t>1)</t>
  </si>
  <si>
    <t>2)</t>
  </si>
  <si>
    <t>5)</t>
  </si>
  <si>
    <t>TEST task nr:</t>
  </si>
  <si>
    <t xml:space="preserve"> If you whish to express the requested dose and dose rate deposited to other materials,</t>
  </si>
  <si>
    <t xml:space="preserve">Please note that the dosimetry at ESTEC Co60 Facility is based on the measurement of dose deposited to water: the radiation test summary document provided by the ESTEC Co60 Facility at the end of the test campaign will be expressed as dose to water. </t>
  </si>
  <si>
    <t>Dose (Si)</t>
  </si>
  <si>
    <t>Date of Reload:</t>
  </si>
  <si>
    <t>Activity at reload date:</t>
  </si>
  <si>
    <t>[TBq]</t>
  </si>
  <si>
    <t>Activity Now :</t>
  </si>
  <si>
    <t xml:space="preserve">Certificate Date: </t>
  </si>
  <si>
    <t xml:space="preserve">Certificate activity: </t>
  </si>
  <si>
    <t>D (dose rate) = α Γ Activity / distance^2</t>
  </si>
  <si>
    <t xml:space="preserve"> with α (source self absorption coefficient) =</t>
  </si>
  <si>
    <t>See xxxxxxxxx for the estimation of α</t>
  </si>
  <si>
    <t>year</t>
  </si>
  <si>
    <t>dd</t>
  </si>
  <si>
    <t>h</t>
  </si>
  <si>
    <t>Co60 half life</t>
  </si>
  <si>
    <t>Co60 Γ constant in :</t>
  </si>
  <si>
    <t>[Gy sqm / Bq h]</t>
  </si>
  <si>
    <t>[rad sqm / Bq h]</t>
  </si>
  <si>
    <t>** constant value found in literature</t>
  </si>
  <si>
    <t>[rad sqm / Bq min]</t>
  </si>
  <si>
    <t>Co60 Γ in document ORNL/RSIC-45/ KJ</t>
  </si>
  <si>
    <t>[rad sqm / Ci min]</t>
  </si>
  <si>
    <t>Co60 half life in (http://www.nndc.bnl.gov/nudat2/reCenter.jsp?z=27&amp;n=33)</t>
  </si>
  <si>
    <t>[Gy sqm / TBq h]</t>
  </si>
  <si>
    <t xml:space="preserve">Co60.Facility.ESTEC@esa.int </t>
  </si>
  <si>
    <t xml:space="preserve">the irradiation steps with respect to accessibility of the radiation room: </t>
  </si>
  <si>
    <t>Data of previous source</t>
  </si>
  <si>
    <t>See ESA-TECQEC-LAB-TN-002461 for the estimation of α</t>
  </si>
  <si>
    <t>5) Complete each line of the run with the "Target Total Dose" of the step.</t>
  </si>
  <si>
    <r>
      <t xml:space="preserve">(*) The figures of dose and dose rate indicated in this document shall be </t>
    </r>
    <r>
      <rPr>
        <b/>
        <sz val="9"/>
        <rFont val="Arial"/>
        <family val="2"/>
      </rPr>
      <t>dose to Si</t>
    </r>
    <r>
      <rPr>
        <sz val="9"/>
        <rFont val="Arial"/>
        <family val="2"/>
      </rPr>
      <t>.</t>
    </r>
  </si>
  <si>
    <t xml:space="preserve">How to define the schedule, in 5 steps: </t>
  </si>
  <si>
    <t xml:space="preserve">     ... iterate as necessary until no red appears</t>
  </si>
  <si>
    <t>2) Specify the " Intermediate measurement duration [hrs]"</t>
  </si>
  <si>
    <t>Radiation Test Schedule</t>
  </si>
  <si>
    <t>This excel file "Radiation Test Schedule" allows to schedule</t>
  </si>
  <si>
    <t>-the DUT exposure runs 24/7</t>
  </si>
  <si>
    <r>
      <t xml:space="preserve">-the irradiation and control room are accessible during </t>
    </r>
    <r>
      <rPr>
        <sz val="11"/>
        <color rgb="FF00B050"/>
        <rFont val="Arial"/>
        <family val="2"/>
      </rPr>
      <t xml:space="preserve">working hours 09:30 - 18 
</t>
    </r>
  </si>
  <si>
    <r>
      <t>-access between</t>
    </r>
    <r>
      <rPr>
        <sz val="11"/>
        <color rgb="FFFF6600"/>
        <rFont val="Arial"/>
        <family val="2"/>
      </rPr>
      <t xml:space="preserve"> 8:30-9:30 and 18-19:30 is possible pending personnel availability</t>
    </r>
    <r>
      <rPr>
        <sz val="11"/>
        <color theme="3" tint="-0.249977111117893"/>
        <rFont val="Arial"/>
        <family val="2"/>
      </rPr>
      <t>: shall be agreed with facility manager</t>
    </r>
  </si>
  <si>
    <t>RA000xxxx</t>
  </si>
  <si>
    <t>Sunday</t>
  </si>
  <si>
    <t>Monday</t>
  </si>
  <si>
    <t>Tuesday</t>
  </si>
  <si>
    <t>Wednesday</t>
  </si>
  <si>
    <t>Thursday</t>
  </si>
  <si>
    <t>Friday</t>
  </si>
  <si>
    <t>Saturday</t>
  </si>
  <si>
    <t>work ends</t>
  </si>
  <si>
    <t>work starts</t>
  </si>
  <si>
    <t>(reference Sunday)</t>
  </si>
  <si>
    <t>non-working day</t>
  </si>
  <si>
    <t>please fill in:  Target TID, [target dose rate]</t>
  </si>
  <si>
    <t>Public Holiday - no access to the Facility</t>
  </si>
  <si>
    <t>Weekend - no access to the facility</t>
  </si>
  <si>
    <t>No access - outside working hours</t>
  </si>
  <si>
    <t>Check personnel availability</t>
  </si>
  <si>
    <t>Target Total Dose CANNOT be decreased</t>
  </si>
  <si>
    <t>Dose Rate too LOW - please increase its value or contact Facility</t>
  </si>
  <si>
    <t>Dose Rate too HIGH - please decrease or contact the Facility</t>
  </si>
  <si>
    <t>max D.R.(Si):</t>
  </si>
  <si>
    <t>min. D.R.(Si):</t>
  </si>
  <si>
    <t>1st - weekend</t>
  </si>
  <si>
    <t>2nd - weekend</t>
  </si>
  <si>
    <t>2nd - Public holidays</t>
  </si>
  <si>
    <t>1st - Public holidays</t>
  </si>
  <si>
    <t>priority and warning messages</t>
  </si>
  <si>
    <t>p</t>
  </si>
  <si>
    <t>Outside ISO 17025 scope</t>
  </si>
  <si>
    <t>Dose Rate outside ISO 17025 accredited scope</t>
  </si>
  <si>
    <t>additional criteria</t>
  </si>
  <si>
    <t>max distance [m]</t>
  </si>
  <si>
    <t>min distance [m]</t>
  </si>
  <si>
    <t>D.R. [Gy/h] (in water) window</t>
  </si>
  <si>
    <t>warning message indexes -&gt;</t>
  </si>
  <si>
    <t>flag</t>
  </si>
  <si>
    <t>Flag field a</t>
  </si>
  <si>
    <t>Flag field b</t>
  </si>
  <si>
    <t>Flag field c</t>
  </si>
  <si>
    <t>Flag field d</t>
  </si>
  <si>
    <t xml:space="preserve">1st -outside work hours </t>
  </si>
  <si>
    <t xml:space="preserve">2nd -outside work hours </t>
  </si>
  <si>
    <t xml:space="preserve">1st -check work hours </t>
  </si>
  <si>
    <t xml:space="preserve">2nd -check work hours </t>
  </si>
  <si>
    <t>0= green (ok)</t>
  </si>
  <si>
    <t>1= orange (warning)</t>
  </si>
  <si>
    <t>2= red (not feasible)</t>
  </si>
  <si>
    <t>-</t>
  </si>
  <si>
    <t xml:space="preserve">Fill TID </t>
  </si>
  <si>
    <t>index</t>
  </si>
  <si>
    <t>dose unit</t>
  </si>
  <si>
    <t>distance unit</t>
  </si>
  <si>
    <t>time unit</t>
  </si>
  <si>
    <t>dose unit conversion</t>
  </si>
  <si>
    <t>distance unit conversion</t>
  </si>
  <si>
    <t>time unit conversion</t>
  </si>
  <si>
    <t>Base References for units:  Gy, Gy/hrs, meters</t>
  </si>
  <si>
    <t>&lt;==</t>
  </si>
  <si>
    <t>start</t>
  </si>
  <si>
    <t>end</t>
  </si>
  <si>
    <t>Dose from water to:</t>
  </si>
  <si>
    <t>material</t>
  </si>
  <si>
    <t>multiplying factor</t>
  </si>
  <si>
    <t>target D.R.</t>
  </si>
  <si>
    <t>Dose Unit</t>
  </si>
  <si>
    <t>min DR [Gy/hrs] (water)</t>
  </si>
  <si>
    <t>max DR [Gy/hrs] (water)</t>
  </si>
  <si>
    <t>H2O</t>
  </si>
  <si>
    <t>SiO2</t>
  </si>
  <si>
    <t>GaAs</t>
  </si>
  <si>
    <t>InGaAs</t>
  </si>
  <si>
    <t>Silicon Dioxide</t>
  </si>
  <si>
    <t>Gallium Indium Arsenide</t>
  </si>
  <si>
    <t>C.F.</t>
  </si>
  <si>
    <t>Target DR [Gy/hrs] (water)</t>
  </si>
  <si>
    <t>outside</t>
  </si>
  <si>
    <t>too High</t>
  </si>
  <si>
    <t>too Low</t>
  </si>
  <si>
    <t>geom.outside</t>
  </si>
  <si>
    <t>ISO</t>
  </si>
  <si>
    <t>From Planner:</t>
  </si>
  <si>
    <t>Unit selection</t>
  </si>
  <si>
    <t>Legend:</t>
  </si>
  <si>
    <r>
      <t xml:space="preserve">green label next to the beginning/end of the run indicates that the dose step is </t>
    </r>
    <r>
      <rPr>
        <b/>
        <sz val="11"/>
        <color theme="3" tint="-0.249977111117893"/>
        <rFont val="Arial"/>
        <family val="2"/>
      </rPr>
      <t xml:space="preserve">feasible, </t>
    </r>
  </si>
  <si>
    <t>orange label indicates that combination may be possible, the feasibility shall be agreed with facility  (Co60.Facility.ESTEC@esa.int ),</t>
  </si>
  <si>
    <r>
      <t xml:space="preserve">red label indicates that the combination selected </t>
    </r>
    <r>
      <rPr>
        <b/>
        <sz val="11"/>
        <color theme="3" tint="-0.249977111117893"/>
        <rFont val="Arial"/>
        <family val="2"/>
      </rPr>
      <t xml:space="preserve">cannot be accomodated. </t>
    </r>
  </si>
  <si>
    <t>The column "Remarks" explains the reason of the scheduling error upon appearance of the red or orange warnings.</t>
  </si>
  <si>
    <t>Once the initial starting date, the dose levels, the dose rate and dose steps are selected for each run 
the radiation test planner will indicate if the run is feasible.</t>
  </si>
  <si>
    <t>5.2) Check that your Boards(s) fit in the Max irradiation area (width and heigh length indicated in Column J)</t>
  </si>
  <si>
    <t>5.1) If the Dose Rate of the run shall be different from the "Default Dose Rate", use the column "Target Dose Rate"</t>
  </si>
  <si>
    <r>
      <t xml:space="preserve">Only the cells with </t>
    </r>
    <r>
      <rPr>
        <b/>
        <i/>
        <sz val="12"/>
        <color theme="3" tint="-0.249977111117893"/>
        <rFont val="Calibri"/>
        <family val="2"/>
      </rPr>
      <t>light blue</t>
    </r>
    <r>
      <rPr>
        <i/>
        <sz val="12"/>
        <color theme="3" tint="-0.249977111117893"/>
        <rFont val="Calibri"/>
        <family val="2"/>
      </rPr>
      <t xml:space="preserve"> background </t>
    </r>
    <r>
      <rPr>
        <b/>
        <i/>
        <sz val="12"/>
        <color theme="3" tint="-0.249977111117893"/>
        <rFont val="Calibri"/>
        <family val="2"/>
      </rPr>
      <t xml:space="preserve">can be edited </t>
    </r>
  </si>
  <si>
    <t>Irradiation Run</t>
  </si>
  <si>
    <t>Max Irradiation area : sides length</t>
  </si>
  <si>
    <t>Target 
Total Dose 
(*)</t>
  </si>
  <si>
    <t>ESA-TECEDR-LAB-ML-2025-001890 version 3.0</t>
  </si>
  <si>
    <t xml:space="preserve">Units selection </t>
  </si>
  <si>
    <t>that shall be clearly specified when you send this file to</t>
  </si>
  <si>
    <t xml:space="preserve">last update 21 Jan 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</si>
</sst>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64" formatCode="dd\-mmm\-yyyy\ hh:mm;@"/>
    <numFmt numFmtId="165" formatCode="#,##0.0000"/>
    <numFmt numFmtId="166" formatCode="0.000"/>
    <numFmt numFmtId="167" formatCode="dd\-mmm\-yyyy\ hh:mm"/>
    <numFmt numFmtId="168" formatCode="0.000E+00"/>
    <numFmt numFmtId="169" formatCode="dd\ mmmm\ yyyy\ hh:mm"/>
    <numFmt numFmtId="170" formatCode="0.0000000"/>
    <numFmt numFmtId="171" formatCode="0.00000"/>
    <numFmt numFmtId="172" formatCode="#,##0.0"/>
    <numFmt numFmtId="173" formatCode="0.0E+00"/>
    <numFmt numFmtId="174" formatCode="0.0000000000000"/>
    <numFmt numFmtId="175" formatCode="dd\ mmm\ yyyy\ hh:mm;@"/>
    <numFmt numFmtId="176" formatCode="dd\-mmm\-yyyy\ hh:mm:ss"/>
    <numFmt numFmtId="177" formatCode="0.0000"/>
  </numFmts>
  <fonts count="7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b/>
      <sz val="12"/>
      <color indexed="12"/>
      <name val="Arial"/>
      <family val="2"/>
    </font>
    <font>
      <b/>
      <sz val="10"/>
      <name val="Arial"/>
      <family val="2"/>
    </font>
    <font>
      <i/>
      <sz val="8"/>
      <name val="Arial"/>
      <family val="2"/>
    </font>
    <font>
      <b/>
      <i/>
      <sz val="11"/>
      <name val="Calibri"/>
      <family val="2"/>
    </font>
    <font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color indexed="12"/>
      <name val="Arial"/>
      <family val="2"/>
    </font>
    <font>
      <b/>
      <sz val="11"/>
      <name val="Arial"/>
      <family val="2"/>
    </font>
    <font>
      <b/>
      <i/>
      <sz val="10"/>
      <name val="Arial"/>
      <family val="2"/>
    </font>
    <font>
      <sz val="8"/>
      <color indexed="22"/>
      <name val="Arial"/>
      <family val="2"/>
    </font>
    <font>
      <sz val="11"/>
      <name val="Arial"/>
      <family val="2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i/>
      <sz val="12"/>
      <name val="Calibri"/>
      <family val="2"/>
    </font>
    <font>
      <sz val="16"/>
      <name val="Arial"/>
      <family val="2"/>
    </font>
    <font>
      <b/>
      <sz val="12"/>
      <color rgb="FF0000FF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8"/>
      <color theme="0" tint="-0.499984740745262"/>
      <name val="Arial"/>
      <family val="2"/>
    </font>
    <font>
      <b/>
      <sz val="8"/>
      <color theme="0" tint="-0.499984740745262"/>
      <name val="Arial"/>
      <family val="2"/>
    </font>
    <font>
      <b/>
      <i/>
      <sz val="8"/>
      <color theme="0" tint="-0.499984740745262"/>
      <name val="Arial"/>
      <family val="2"/>
    </font>
    <font>
      <sz val="11"/>
      <color theme="0" tint="-0.499984740745262"/>
      <name val="Calibri"/>
      <family val="2"/>
      <scheme val="minor"/>
    </font>
    <font>
      <i/>
      <sz val="8"/>
      <color theme="0" tint="-0.499984740745262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1"/>
      <color rgb="FF0000FF"/>
      <name val="Arial"/>
      <family val="2"/>
    </font>
    <font>
      <u/>
      <sz val="9"/>
      <color theme="10"/>
      <name val="Calibri"/>
      <family val="2"/>
      <scheme val="minor"/>
    </font>
    <font>
      <sz val="10"/>
      <color indexed="10"/>
      <name val="Arial"/>
      <family val="2"/>
    </font>
    <font>
      <sz val="10"/>
      <color indexed="10"/>
      <name val="Calibri"/>
      <family val="2"/>
    </font>
    <font>
      <i/>
      <sz val="10"/>
      <color rgb="FF7F7F7F"/>
      <name val="Calibri"/>
      <family val="2"/>
      <scheme val="minor"/>
    </font>
    <font>
      <i/>
      <sz val="10"/>
      <name val="Arial"/>
      <family val="2"/>
    </font>
    <font>
      <sz val="10"/>
      <color indexed="22"/>
      <name val="Arial"/>
      <family val="2"/>
    </font>
    <font>
      <b/>
      <sz val="10"/>
      <color indexed="22"/>
      <name val="Arial"/>
      <family val="2"/>
    </font>
    <font>
      <sz val="10"/>
      <color indexed="9"/>
      <name val="Arial"/>
      <family val="2"/>
    </font>
    <font>
      <b/>
      <i/>
      <sz val="10"/>
      <color indexed="9"/>
      <name val="Arial"/>
      <family val="2"/>
    </font>
    <font>
      <b/>
      <u/>
      <sz val="20"/>
      <color theme="3" tint="-0.249977111117893"/>
      <name val="Calibri"/>
      <family val="2"/>
    </font>
    <font>
      <sz val="8"/>
      <color theme="3" tint="-0.249977111117893"/>
      <name val="Arial"/>
      <family val="2"/>
    </font>
    <font>
      <i/>
      <sz val="12"/>
      <color theme="3" tint="-0.249977111117893"/>
      <name val="Calibri"/>
      <family val="2"/>
    </font>
    <font>
      <b/>
      <i/>
      <sz val="12"/>
      <color theme="3" tint="-0.249977111117893"/>
      <name val="Calibri"/>
      <family val="2"/>
    </font>
    <font>
      <sz val="16"/>
      <color theme="3" tint="-0.249977111117893"/>
      <name val="Arial"/>
      <family val="2"/>
    </font>
    <font>
      <b/>
      <i/>
      <u/>
      <sz val="20"/>
      <color theme="3" tint="-0.249977111117893"/>
      <name val="Calibri"/>
      <family val="2"/>
    </font>
    <font>
      <sz val="11"/>
      <color theme="3" tint="-0.249977111117893"/>
      <name val="Arial"/>
      <family val="2"/>
    </font>
    <font>
      <sz val="18"/>
      <color theme="4" tint="-0.499984740745262"/>
      <name val="Arial monospaced for SAP"/>
      <family val="3"/>
    </font>
    <font>
      <sz val="10"/>
      <color theme="0"/>
      <name val="Arial"/>
      <family val="2"/>
    </font>
    <font>
      <sz val="11"/>
      <color rgb="FFFF6600"/>
      <name val="Arial"/>
      <family val="2"/>
    </font>
    <font>
      <sz val="11"/>
      <color rgb="FF00B050"/>
      <name val="Arial"/>
      <family val="2"/>
    </font>
    <font>
      <sz val="10"/>
      <color theme="0" tint="-0.499984740745262"/>
      <name val="Arial"/>
      <family val="2"/>
    </font>
    <font>
      <b/>
      <sz val="10"/>
      <color indexed="9"/>
      <name val="Arial"/>
      <family val="2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1"/>
      <name val="Calibri"/>
      <family val="2"/>
      <scheme val="minor"/>
    </font>
    <font>
      <sz val="9"/>
      <color rgb="FF006100"/>
      <name val="Calibri"/>
      <family val="2"/>
      <scheme val="minor"/>
    </font>
    <font>
      <b/>
      <sz val="11"/>
      <color rgb="FF9C5700"/>
      <name val="Calibri"/>
      <family val="2"/>
      <scheme val="minor"/>
    </font>
    <font>
      <sz val="10"/>
      <color rgb="FF9C5700"/>
      <name val="Calibri"/>
      <family val="2"/>
      <scheme val="minor"/>
    </font>
    <font>
      <sz val="8"/>
      <color rgb="FF9C5700"/>
      <name val="Calibri"/>
      <family val="2"/>
      <scheme val="minor"/>
    </font>
    <font>
      <sz val="8"/>
      <color rgb="FF006100"/>
      <name val="Calibri"/>
      <family val="2"/>
      <scheme val="minor"/>
    </font>
    <font>
      <b/>
      <sz val="12"/>
      <color rgb="FF002060"/>
      <name val="Arial"/>
      <family val="2"/>
    </font>
    <font>
      <b/>
      <sz val="11"/>
      <color theme="3" tint="-0.249977111117893"/>
      <name val="Arial"/>
      <family val="2"/>
    </font>
    <font>
      <sz val="9"/>
      <color theme="3" tint="-0.249977111117893"/>
      <name val="Arial"/>
      <family val="2"/>
    </font>
    <font>
      <b/>
      <i/>
      <sz val="10"/>
      <color theme="0" tint="-0.34998626667073579"/>
      <name val="Arial"/>
      <family val="2"/>
    </font>
    <font>
      <sz val="9"/>
      <color theme="1" tint="0.499984740745262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ck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medium">
        <color indexed="64"/>
      </top>
      <bottom style="thin">
        <color indexed="23"/>
      </bottom>
      <diagonal/>
    </border>
    <border>
      <left style="medium">
        <color indexed="64"/>
      </left>
      <right style="thin">
        <color indexed="23"/>
      </right>
      <top/>
      <bottom/>
      <diagonal/>
    </border>
    <border>
      <left style="thin">
        <color indexed="23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23"/>
      </right>
      <top/>
      <bottom style="medium">
        <color indexed="64"/>
      </bottom>
      <diagonal/>
    </border>
    <border>
      <left style="thin">
        <color indexed="23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6" fillId="0" borderId="0" applyNumberFormat="0" applyFill="0" applyBorder="0" applyAlignment="0" applyProtection="0"/>
    <xf numFmtId="9" fontId="26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58" fillId="13" borderId="0" applyNumberFormat="0" applyBorder="0" applyAlignment="0" applyProtection="0"/>
    <xf numFmtId="0" fontId="59" fillId="14" borderId="0" applyNumberFormat="0" applyBorder="0" applyAlignment="0" applyProtection="0"/>
  </cellStyleXfs>
  <cellXfs count="360">
    <xf numFmtId="0" fontId="0" fillId="0" borderId="0" xfId="0"/>
    <xf numFmtId="0" fontId="1" fillId="5" borderId="17" xfId="0" applyFont="1" applyFill="1" applyBorder="1"/>
    <xf numFmtId="14" fontId="2" fillId="4" borderId="17" xfId="0" applyNumberFormat="1" applyFont="1" applyFill="1" applyBorder="1" applyAlignment="1">
      <alignment horizontal="center" vertical="center" wrapText="1"/>
    </xf>
    <xf numFmtId="14" fontId="1" fillId="4" borderId="17" xfId="0" applyNumberFormat="1" applyFont="1" applyFill="1" applyBorder="1"/>
    <xf numFmtId="0" fontId="10" fillId="5" borderId="17" xfId="0" applyFont="1" applyFill="1" applyBorder="1"/>
    <xf numFmtId="0" fontId="9" fillId="5" borderId="17" xfId="0" applyFont="1" applyFill="1" applyBorder="1"/>
    <xf numFmtId="0" fontId="8" fillId="5" borderId="17" xfId="0" applyFont="1" applyFill="1" applyBorder="1"/>
    <xf numFmtId="0" fontId="19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0" fillId="0" borderId="0" xfId="0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9" xfId="0" applyBorder="1"/>
    <xf numFmtId="0" fontId="0" fillId="0" borderId="0" xfId="0" applyAlignment="1">
      <alignment horizontal="right" vertical="center" wrapText="1"/>
    </xf>
    <xf numFmtId="11" fontId="0" fillId="0" borderId="0" xfId="0" applyNumberFormat="1" applyAlignment="1">
      <alignment vertical="center" wrapText="1"/>
    </xf>
    <xf numFmtId="0" fontId="0" fillId="6" borderId="0" xfId="0" applyFill="1" applyAlignment="1">
      <alignment vertical="center" wrapText="1"/>
    </xf>
    <xf numFmtId="11" fontId="0" fillId="6" borderId="0" xfId="0" applyNumberFormat="1" applyFill="1" applyAlignment="1">
      <alignment vertical="center" wrapText="1"/>
    </xf>
    <xf numFmtId="166" fontId="0" fillId="0" borderId="0" xfId="0" applyNumberFormat="1"/>
    <xf numFmtId="0" fontId="0" fillId="0" borderId="0" xfId="0" applyAlignment="1">
      <alignment horizontal="right"/>
    </xf>
    <xf numFmtId="11" fontId="0" fillId="0" borderId="0" xfId="0" applyNumberFormat="1"/>
    <xf numFmtId="168" fontId="0" fillId="0" borderId="0" xfId="0" applyNumberFormat="1"/>
    <xf numFmtId="47" fontId="0" fillId="0" borderId="0" xfId="0" applyNumberFormat="1"/>
    <xf numFmtId="0" fontId="20" fillId="6" borderId="0" xfId="0" applyFont="1" applyFill="1" applyAlignment="1">
      <alignment vertical="center" wrapText="1"/>
    </xf>
    <xf numFmtId="0" fontId="20" fillId="6" borderId="0" xfId="0" applyFont="1" applyFill="1"/>
    <xf numFmtId="0" fontId="1" fillId="2" borderId="1" xfId="0" applyFont="1" applyFill="1" applyBorder="1" applyAlignment="1">
      <alignment vertical="center"/>
    </xf>
    <xf numFmtId="0" fontId="2" fillId="2" borderId="11" xfId="0" applyFont="1" applyFill="1" applyBorder="1" applyAlignment="1">
      <alignment horizontal="right" vertical="center"/>
    </xf>
    <xf numFmtId="169" fontId="2" fillId="2" borderId="11" xfId="0" applyNumberFormat="1" applyFont="1" applyFill="1" applyBorder="1" applyAlignment="1">
      <alignment horizontal="left" vertical="center"/>
    </xf>
    <xf numFmtId="170" fontId="2" fillId="2" borderId="0" xfId="0" applyNumberFormat="1" applyFont="1" applyFill="1" applyAlignment="1">
      <alignment vertical="center"/>
    </xf>
    <xf numFmtId="0" fontId="1" fillId="2" borderId="11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0" fillId="2" borderId="11" xfId="0" applyFill="1" applyBorder="1"/>
    <xf numFmtId="0" fontId="0" fillId="2" borderId="20" xfId="0" applyFill="1" applyBorder="1"/>
    <xf numFmtId="0" fontId="2" fillId="2" borderId="2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169" fontId="2" fillId="2" borderId="0" xfId="0" applyNumberFormat="1" applyFont="1" applyFill="1" applyAlignment="1">
      <alignment horizontal="left" vertical="center"/>
    </xf>
    <xf numFmtId="171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/>
    <xf numFmtId="0" fontId="0" fillId="2" borderId="14" xfId="0" applyFill="1" applyBorder="1"/>
    <xf numFmtId="22" fontId="2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3" fillId="10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1" fillId="2" borderId="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6" fillId="2" borderId="0" xfId="0" applyFont="1" applyFill="1" applyAlignment="1">
      <alignment horizontal="right" vertical="center"/>
    </xf>
    <xf numFmtId="4" fontId="3" fillId="11" borderId="0" xfId="0" applyNumberFormat="1" applyFont="1" applyFill="1" applyAlignment="1">
      <alignment horizontal="right" vertical="center"/>
    </xf>
    <xf numFmtId="4" fontId="6" fillId="2" borderId="0" xfId="0" applyNumberFormat="1" applyFont="1" applyFill="1" applyAlignment="1">
      <alignment horizontal="right" vertical="center"/>
    </xf>
    <xf numFmtId="172" fontId="6" fillId="2" borderId="0" xfId="0" applyNumberFormat="1" applyFont="1" applyFill="1" applyAlignment="1">
      <alignment horizontal="right" vertical="center"/>
    </xf>
    <xf numFmtId="3" fontId="6" fillId="2" borderId="0" xfId="0" applyNumberFormat="1" applyFont="1" applyFill="1" applyAlignment="1">
      <alignment horizontal="right" vertical="center"/>
    </xf>
    <xf numFmtId="0" fontId="1" fillId="2" borderId="2" xfId="0" applyFont="1" applyFill="1" applyBorder="1"/>
    <xf numFmtId="0" fontId="1" fillId="2" borderId="0" xfId="0" applyFont="1" applyFill="1"/>
    <xf numFmtId="0" fontId="2" fillId="2" borderId="0" xfId="0" applyFont="1" applyFill="1" applyAlignment="1">
      <alignment horizontal="right"/>
    </xf>
    <xf numFmtId="0" fontId="2" fillId="11" borderId="0" xfId="0" applyFont="1" applyFill="1"/>
    <xf numFmtId="0" fontId="6" fillId="2" borderId="0" xfId="0" applyFont="1" applyFill="1" applyAlignment="1">
      <alignment horizontal="right"/>
    </xf>
    <xf numFmtId="173" fontId="1" fillId="2" borderId="0" xfId="0" applyNumberFormat="1" applyFont="1" applyFill="1"/>
    <xf numFmtId="0" fontId="1" fillId="2" borderId="16" xfId="0" applyFont="1" applyFill="1" applyBorder="1"/>
    <xf numFmtId="0" fontId="2" fillId="2" borderId="8" xfId="0" applyFont="1" applyFill="1" applyBorder="1" applyAlignment="1">
      <alignment horizontal="right"/>
    </xf>
    <xf numFmtId="0" fontId="1" fillId="2" borderId="8" xfId="0" applyFont="1" applyFill="1" applyBorder="1"/>
    <xf numFmtId="0" fontId="1" fillId="2" borderId="8" xfId="0" applyFont="1" applyFill="1" applyBorder="1" applyAlignment="1">
      <alignment horizontal="right"/>
    </xf>
    <xf numFmtId="0" fontId="0" fillId="2" borderId="8" xfId="0" applyFill="1" applyBorder="1"/>
    <xf numFmtId="0" fontId="0" fillId="2" borderId="15" xfId="0" applyFill="1" applyBorder="1"/>
    <xf numFmtId="174" fontId="2" fillId="2" borderId="11" xfId="0" applyNumberFormat="1" applyFont="1" applyFill="1" applyBorder="1" applyAlignment="1">
      <alignment horizontal="right" vertical="center"/>
    </xf>
    <xf numFmtId="0" fontId="28" fillId="2" borderId="1" xfId="0" applyFont="1" applyFill="1" applyBorder="1" applyAlignment="1">
      <alignment vertical="center"/>
    </xf>
    <xf numFmtId="0" fontId="29" fillId="2" borderId="11" xfId="0" applyFont="1" applyFill="1" applyBorder="1" applyAlignment="1">
      <alignment horizontal="right" vertical="center"/>
    </xf>
    <xf numFmtId="169" fontId="29" fillId="2" borderId="11" xfId="0" applyNumberFormat="1" applyFont="1" applyFill="1" applyBorder="1" applyAlignment="1">
      <alignment horizontal="left" vertical="center"/>
    </xf>
    <xf numFmtId="170" fontId="29" fillId="2" borderId="0" xfId="0" applyNumberFormat="1" applyFont="1" applyFill="1" applyAlignment="1">
      <alignment vertical="center"/>
    </xf>
    <xf numFmtId="0" fontId="28" fillId="2" borderId="11" xfId="0" applyFont="1" applyFill="1" applyBorder="1" applyAlignment="1">
      <alignment vertical="center"/>
    </xf>
    <xf numFmtId="174" fontId="29" fillId="2" borderId="11" xfId="0" applyNumberFormat="1" applyFont="1" applyFill="1" applyBorder="1" applyAlignment="1">
      <alignment horizontal="right" vertical="center"/>
    </xf>
    <xf numFmtId="0" fontId="30" fillId="2" borderId="11" xfId="0" applyFont="1" applyFill="1" applyBorder="1" applyAlignment="1">
      <alignment vertical="center"/>
    </xf>
    <xf numFmtId="0" fontId="31" fillId="2" borderId="11" xfId="0" applyFont="1" applyFill="1" applyBorder="1"/>
    <xf numFmtId="0" fontId="31" fillId="2" borderId="20" xfId="0" applyFont="1" applyFill="1" applyBorder="1"/>
    <xf numFmtId="0" fontId="29" fillId="2" borderId="2" xfId="0" applyFont="1" applyFill="1" applyBorder="1" applyAlignment="1">
      <alignment vertical="center"/>
    </xf>
    <xf numFmtId="0" fontId="29" fillId="2" borderId="0" xfId="0" applyFont="1" applyFill="1" applyAlignment="1">
      <alignment horizontal="right" vertical="center"/>
    </xf>
    <xf numFmtId="169" fontId="29" fillId="2" borderId="0" xfId="0" applyNumberFormat="1" applyFont="1" applyFill="1" applyAlignment="1">
      <alignment horizontal="left" vertical="center"/>
    </xf>
    <xf numFmtId="171" fontId="29" fillId="2" borderId="0" xfId="0" applyNumberFormat="1" applyFont="1" applyFill="1" applyAlignment="1">
      <alignment vertical="center"/>
    </xf>
    <xf numFmtId="0" fontId="29" fillId="2" borderId="0" xfId="0" applyFont="1" applyFill="1" applyAlignment="1">
      <alignment vertical="center"/>
    </xf>
    <xf numFmtId="0" fontId="31" fillId="2" borderId="0" xfId="0" applyFont="1" applyFill="1"/>
    <xf numFmtId="0" fontId="31" fillId="2" borderId="14" xfId="0" applyFont="1" applyFill="1" applyBorder="1"/>
    <xf numFmtId="22" fontId="29" fillId="2" borderId="0" xfId="0" applyNumberFormat="1" applyFont="1" applyFill="1" applyAlignment="1">
      <alignment vertical="center"/>
    </xf>
    <xf numFmtId="0" fontId="30" fillId="2" borderId="0" xfId="0" applyFont="1" applyFill="1" applyAlignment="1">
      <alignment vertical="center"/>
    </xf>
    <xf numFmtId="0" fontId="29" fillId="2" borderId="0" xfId="0" applyFont="1" applyFill="1"/>
    <xf numFmtId="0" fontId="30" fillId="2" borderId="0" xfId="0" applyFont="1" applyFill="1"/>
    <xf numFmtId="0" fontId="30" fillId="2" borderId="0" xfId="0" applyFont="1" applyFill="1" applyAlignment="1">
      <alignment horizontal="right"/>
    </xf>
    <xf numFmtId="0" fontId="30" fillId="10" borderId="0" xfId="0" applyFont="1" applyFill="1" applyAlignment="1">
      <alignment horizontal="left"/>
    </xf>
    <xf numFmtId="0" fontId="30" fillId="2" borderId="0" xfId="0" applyFont="1" applyFill="1" applyAlignment="1">
      <alignment horizontal="left"/>
    </xf>
    <xf numFmtId="0" fontId="28" fillId="2" borderId="2" xfId="0" applyFont="1" applyFill="1" applyBorder="1" applyAlignment="1">
      <alignment vertical="center"/>
    </xf>
    <xf numFmtId="0" fontId="28" fillId="2" borderId="0" xfId="0" applyFont="1" applyFill="1" applyAlignment="1">
      <alignment vertical="center"/>
    </xf>
    <xf numFmtId="0" fontId="32" fillId="2" borderId="0" xfId="0" applyFont="1" applyFill="1" applyAlignment="1">
      <alignment horizontal="right" vertical="center"/>
    </xf>
    <xf numFmtId="4" fontId="30" fillId="11" borderId="0" xfId="0" applyNumberFormat="1" applyFont="1" applyFill="1" applyAlignment="1">
      <alignment horizontal="right" vertical="center"/>
    </xf>
    <xf numFmtId="4" fontId="32" fillId="2" borderId="0" xfId="0" applyNumberFormat="1" applyFont="1" applyFill="1" applyAlignment="1">
      <alignment horizontal="right" vertical="center"/>
    </xf>
    <xf numFmtId="172" fontId="32" fillId="2" borderId="0" xfId="0" applyNumberFormat="1" applyFont="1" applyFill="1" applyAlignment="1">
      <alignment horizontal="right" vertical="center"/>
    </xf>
    <xf numFmtId="3" fontId="32" fillId="2" borderId="0" xfId="0" applyNumberFormat="1" applyFont="1" applyFill="1" applyAlignment="1">
      <alignment horizontal="right" vertical="center"/>
    </xf>
    <xf numFmtId="0" fontId="28" fillId="2" borderId="2" xfId="0" applyFont="1" applyFill="1" applyBorder="1"/>
    <xf numFmtId="0" fontId="28" fillId="2" borderId="0" xfId="0" applyFont="1" applyFill="1"/>
    <xf numFmtId="0" fontId="29" fillId="2" borderId="0" xfId="0" applyFont="1" applyFill="1" applyAlignment="1">
      <alignment horizontal="right"/>
    </xf>
    <xf numFmtId="0" fontId="29" fillId="11" borderId="0" xfId="0" applyFont="1" applyFill="1"/>
    <xf numFmtId="0" fontId="32" fillId="2" borderId="0" xfId="0" applyFont="1" applyFill="1" applyAlignment="1">
      <alignment horizontal="right"/>
    </xf>
    <xf numFmtId="173" fontId="28" fillId="2" borderId="0" xfId="0" applyNumberFormat="1" applyFont="1" applyFill="1"/>
    <xf numFmtId="0" fontId="28" fillId="2" borderId="16" xfId="0" applyFont="1" applyFill="1" applyBorder="1"/>
    <xf numFmtId="0" fontId="29" fillId="2" borderId="8" xfId="0" applyFont="1" applyFill="1" applyBorder="1" applyAlignment="1">
      <alignment horizontal="right"/>
    </xf>
    <xf numFmtId="0" fontId="28" fillId="2" borderId="8" xfId="0" applyFont="1" applyFill="1" applyBorder="1" applyAlignment="1">
      <alignment horizontal="right"/>
    </xf>
    <xf numFmtId="0" fontId="28" fillId="2" borderId="8" xfId="0" applyFont="1" applyFill="1" applyBorder="1"/>
    <xf numFmtId="0" fontId="31" fillId="2" borderId="8" xfId="0" applyFont="1" applyFill="1" applyBorder="1"/>
    <xf numFmtId="0" fontId="31" fillId="2" borderId="15" xfId="0" applyFont="1" applyFill="1" applyBorder="1"/>
    <xf numFmtId="0" fontId="23" fillId="9" borderId="0" xfId="1" applyFont="1" applyFill="1" applyAlignment="1" applyProtection="1">
      <alignment horizontal="center" vertical="center"/>
    </xf>
    <xf numFmtId="3" fontId="33" fillId="7" borderId="12" xfId="0" applyNumberFormat="1" applyFont="1" applyFill="1" applyBorder="1" applyAlignment="1" applyProtection="1">
      <alignment horizontal="right" vertical="center" indent="1"/>
      <protection locked="0"/>
    </xf>
    <xf numFmtId="0" fontId="33" fillId="7" borderId="12" xfId="0" applyFont="1" applyFill="1" applyBorder="1" applyAlignment="1" applyProtection="1">
      <alignment horizontal="right" vertical="center" indent="1"/>
      <protection locked="0"/>
    </xf>
    <xf numFmtId="0" fontId="0" fillId="9" borderId="0" xfId="0" applyFill="1"/>
    <xf numFmtId="0" fontId="47" fillId="7" borderId="0" xfId="1" applyFont="1" applyFill="1" applyAlignment="1" applyProtection="1">
      <alignment horizontal="center" vertical="center"/>
    </xf>
    <xf numFmtId="0" fontId="52" fillId="12" borderId="11" xfId="1" applyFont="1" applyFill="1" applyBorder="1" applyAlignment="1" applyProtection="1">
      <alignment horizontal="center"/>
    </xf>
    <xf numFmtId="3" fontId="33" fillId="7" borderId="7" xfId="0" applyNumberFormat="1" applyFont="1" applyFill="1" applyBorder="1" applyAlignment="1" applyProtection="1">
      <alignment horizontal="right" vertical="center" indent="1"/>
      <protection locked="0"/>
    </xf>
    <xf numFmtId="14" fontId="0" fillId="0" borderId="0" xfId="0" applyNumberFormat="1"/>
    <xf numFmtId="0" fontId="0" fillId="0" borderId="0" xfId="0" applyAlignment="1">
      <alignment horizontal="center"/>
    </xf>
    <xf numFmtId="20" fontId="59" fillId="14" borderId="0" xfId="5" applyNumberFormat="1"/>
    <xf numFmtId="20" fontId="58" fillId="13" borderId="0" xfId="4" applyNumberFormat="1"/>
    <xf numFmtId="20" fontId="0" fillId="9" borderId="0" xfId="0" applyNumberFormat="1" applyFill="1"/>
    <xf numFmtId="0" fontId="60" fillId="5" borderId="17" xfId="0" applyFont="1" applyFill="1" applyBorder="1" applyAlignment="1">
      <alignment horizontal="center" vertical="center" wrapText="1"/>
    </xf>
    <xf numFmtId="0" fontId="61" fillId="0" borderId="0" xfId="0" applyFont="1"/>
    <xf numFmtId="20" fontId="58" fillId="13" borderId="25" xfId="4" applyNumberFormat="1" applyBorder="1"/>
    <xf numFmtId="20" fontId="59" fillId="14" borderId="0" xfId="5" applyNumberFormat="1" applyBorder="1"/>
    <xf numFmtId="0" fontId="58" fillId="13" borderId="0" xfId="4"/>
    <xf numFmtId="0" fontId="60" fillId="5" borderId="0" xfId="0" applyFont="1" applyFill="1" applyAlignment="1">
      <alignment horizontal="center" vertical="center" wrapText="1"/>
    </xf>
    <xf numFmtId="0" fontId="61" fillId="0" borderId="0" xfId="0" applyFont="1" applyAlignment="1">
      <alignment horizontal="right"/>
    </xf>
    <xf numFmtId="0" fontId="61" fillId="0" borderId="0" xfId="0" applyFont="1" applyAlignment="1">
      <alignment horizontal="center"/>
    </xf>
    <xf numFmtId="20" fontId="0" fillId="9" borderId="25" xfId="0" applyNumberFormat="1" applyFill="1" applyBorder="1"/>
    <xf numFmtId="0" fontId="61" fillId="16" borderId="0" xfId="0" applyFont="1" applyFill="1"/>
    <xf numFmtId="0" fontId="61" fillId="0" borderId="26" xfId="0" applyFont="1" applyBorder="1"/>
    <xf numFmtId="0" fontId="61" fillId="15" borderId="27" xfId="0" applyFont="1" applyFill="1" applyBorder="1"/>
    <xf numFmtId="0" fontId="62" fillId="15" borderId="27" xfId="0" applyFont="1" applyFill="1" applyBorder="1" applyAlignment="1">
      <alignment horizontal="center"/>
    </xf>
    <xf numFmtId="0" fontId="61" fillId="15" borderId="28" xfId="0" applyFont="1" applyFill="1" applyBorder="1"/>
    <xf numFmtId="0" fontId="61" fillId="0" borderId="29" xfId="0" applyFont="1" applyBorder="1"/>
    <xf numFmtId="0" fontId="61" fillId="15" borderId="0" xfId="0" applyFont="1" applyFill="1"/>
    <xf numFmtId="0" fontId="62" fillId="15" borderId="0" xfId="0" applyFont="1" applyFill="1" applyAlignment="1">
      <alignment horizontal="center"/>
    </xf>
    <xf numFmtId="0" fontId="61" fillId="15" borderId="30" xfId="0" applyFont="1" applyFill="1" applyBorder="1"/>
    <xf numFmtId="0" fontId="62" fillId="7" borderId="0" xfId="0" applyFont="1" applyFill="1" applyAlignment="1">
      <alignment horizontal="center"/>
    </xf>
    <xf numFmtId="0" fontId="62" fillId="7" borderId="30" xfId="0" applyFont="1" applyFill="1" applyBorder="1" applyAlignment="1">
      <alignment horizontal="center"/>
    </xf>
    <xf numFmtId="0" fontId="60" fillId="5" borderId="31" xfId="0" applyFont="1" applyFill="1" applyBorder="1" applyAlignment="1">
      <alignment horizontal="center" vertical="center" wrapText="1"/>
    </xf>
    <xf numFmtId="0" fontId="63" fillId="5" borderId="32" xfId="0" applyFont="1" applyFill="1" applyBorder="1" applyAlignment="1">
      <alignment horizontal="center" vertical="center" wrapText="1"/>
    </xf>
    <xf numFmtId="0" fontId="61" fillId="0" borderId="30" xfId="0" applyFont="1" applyBorder="1"/>
    <xf numFmtId="0" fontId="61" fillId="0" borderId="33" xfId="0" applyFont="1" applyBorder="1"/>
    <xf numFmtId="0" fontId="61" fillId="0" borderId="34" xfId="0" applyFont="1" applyBorder="1"/>
    <xf numFmtId="0" fontId="61" fillId="0" borderId="35" xfId="0" applyFont="1" applyBorder="1"/>
    <xf numFmtId="0" fontId="60" fillId="5" borderId="36" xfId="0" applyFont="1" applyFill="1" applyBorder="1" applyAlignment="1">
      <alignment horizontal="center" vertical="center" wrapText="1"/>
    </xf>
    <xf numFmtId="0" fontId="60" fillId="5" borderId="37" xfId="0" applyFont="1" applyFill="1" applyBorder="1" applyAlignment="1">
      <alignment horizontal="center" vertical="center" wrapText="1"/>
    </xf>
    <xf numFmtId="0" fontId="60" fillId="5" borderId="38" xfId="0" applyFont="1" applyFill="1" applyBorder="1" applyAlignment="1">
      <alignment horizontal="center" vertical="center" wrapText="1"/>
    </xf>
    <xf numFmtId="0" fontId="62" fillId="7" borderId="29" xfId="0" applyFont="1" applyFill="1" applyBorder="1" applyAlignment="1">
      <alignment horizontal="right" vertical="center"/>
    </xf>
    <xf numFmtId="0" fontId="62" fillId="15" borderId="39" xfId="0" applyFont="1" applyFill="1" applyBorder="1" applyAlignment="1">
      <alignment horizontal="center"/>
    </xf>
    <xf numFmtId="0" fontId="62" fillId="15" borderId="6" xfId="0" applyFont="1" applyFill="1" applyBorder="1" applyAlignment="1">
      <alignment horizontal="center"/>
    </xf>
    <xf numFmtId="0" fontId="62" fillId="7" borderId="40" xfId="0" applyFont="1" applyFill="1" applyBorder="1" applyAlignment="1">
      <alignment horizontal="center"/>
    </xf>
    <xf numFmtId="0" fontId="61" fillId="15" borderId="6" xfId="0" applyFont="1" applyFill="1" applyBorder="1"/>
    <xf numFmtId="0" fontId="60" fillId="5" borderId="0" xfId="0" applyFont="1" applyFill="1" applyAlignment="1">
      <alignment horizontal="right" vertical="center" wrapText="1"/>
    </xf>
    <xf numFmtId="0" fontId="2" fillId="5" borderId="41" xfId="0" applyFont="1" applyFill="1" applyBorder="1" applyAlignment="1">
      <alignment horizontal="center"/>
    </xf>
    <xf numFmtId="0" fontId="64" fillId="13" borderId="0" xfId="4" quotePrefix="1" applyFont="1" applyAlignment="1">
      <alignment horizontal="right"/>
    </xf>
    <xf numFmtId="0" fontId="64" fillId="13" borderId="0" xfId="4" applyFont="1"/>
    <xf numFmtId="176" fontId="61" fillId="0" borderId="0" xfId="0" applyNumberFormat="1" applyFont="1" applyAlignment="1">
      <alignment horizontal="right"/>
    </xf>
    <xf numFmtId="0" fontId="66" fillId="14" borderId="41" xfId="5" applyFont="1" applyBorder="1" applyAlignment="1">
      <alignment horizontal="center"/>
    </xf>
    <xf numFmtId="166" fontId="59" fillId="14" borderId="17" xfId="5" applyNumberFormat="1" applyBorder="1" applyAlignment="1">
      <alignment horizontal="right" indent="1"/>
    </xf>
    <xf numFmtId="0" fontId="59" fillId="14" borderId="17" xfId="5" applyBorder="1" applyAlignment="1">
      <alignment horizontal="right"/>
    </xf>
    <xf numFmtId="177" fontId="61" fillId="0" borderId="0" xfId="0" applyNumberFormat="1" applyFont="1"/>
    <xf numFmtId="0" fontId="65" fillId="13" borderId="0" xfId="4" applyFont="1" applyAlignment="1">
      <alignment horizontal="center"/>
    </xf>
    <xf numFmtId="0" fontId="67" fillId="14" borderId="0" xfId="5" applyFont="1"/>
    <xf numFmtId="0" fontId="67" fillId="14" borderId="0" xfId="5" applyFont="1" applyAlignment="1">
      <alignment horizontal="center"/>
    </xf>
    <xf numFmtId="0" fontId="68" fillId="14" borderId="0" xfId="5" applyFont="1"/>
    <xf numFmtId="0" fontId="69" fillId="13" borderId="0" xfId="4" applyFont="1"/>
    <xf numFmtId="0" fontId="69" fillId="13" borderId="0" xfId="4" applyFont="1" applyAlignment="1">
      <alignment horizontal="center"/>
    </xf>
    <xf numFmtId="0" fontId="5" fillId="9" borderId="3" xfId="0" applyFont="1" applyFill="1" applyBorder="1" applyAlignment="1" applyProtection="1">
      <alignment horizontal="center" vertical="center"/>
      <protection hidden="1"/>
    </xf>
    <xf numFmtId="0" fontId="5" fillId="9" borderId="6" xfId="0" applyFont="1" applyFill="1" applyBorder="1" applyAlignment="1" applyProtection="1">
      <alignment horizontal="center" vertical="center" wrapText="1"/>
      <protection hidden="1"/>
    </xf>
    <xf numFmtId="0" fontId="2" fillId="9" borderId="6" xfId="0" applyFont="1" applyFill="1" applyBorder="1" applyAlignment="1" applyProtection="1">
      <alignment horizontal="center" vertical="center" wrapText="1"/>
      <protection hidden="1"/>
    </xf>
    <xf numFmtId="3" fontId="5" fillId="9" borderId="6" xfId="0" applyNumberFormat="1" applyFont="1" applyFill="1" applyBorder="1" applyAlignment="1" applyProtection="1">
      <alignment horizontal="center" vertical="center" wrapText="1"/>
      <protection hidden="1"/>
    </xf>
    <xf numFmtId="3" fontId="5" fillId="9" borderId="9" xfId="0" applyNumberFormat="1" applyFont="1" applyFill="1" applyBorder="1" applyAlignment="1" applyProtection="1">
      <alignment horizontal="center" vertical="center" wrapText="1"/>
      <protection hidden="1"/>
    </xf>
    <xf numFmtId="0" fontId="41" fillId="12" borderId="4" xfId="0" applyFont="1" applyFill="1" applyBorder="1" applyAlignment="1" applyProtection="1">
      <alignment horizontal="center" vertical="center"/>
      <protection hidden="1"/>
    </xf>
    <xf numFmtId="0" fontId="42" fillId="12" borderId="7" xfId="0" applyFont="1" applyFill="1" applyBorder="1" applyAlignment="1" applyProtection="1">
      <alignment vertical="center"/>
      <protection hidden="1"/>
    </xf>
    <xf numFmtId="3" fontId="42" fillId="12" borderId="7" xfId="0" applyNumberFormat="1" applyFont="1" applyFill="1" applyBorder="1" applyAlignment="1" applyProtection="1">
      <alignment horizontal="center" vertical="center"/>
      <protection hidden="1"/>
    </xf>
    <xf numFmtId="3" fontId="42" fillId="12" borderId="10" xfId="0" applyNumberFormat="1" applyFont="1" applyFill="1" applyBorder="1" applyAlignment="1" applyProtection="1">
      <alignment horizontal="center" vertical="center"/>
      <protection hidden="1"/>
    </xf>
    <xf numFmtId="3" fontId="42" fillId="12" borderId="18" xfId="0" applyNumberFormat="1" applyFont="1" applyFill="1" applyBorder="1" applyAlignment="1" applyProtection="1">
      <alignment horizontal="center" vertical="center"/>
      <protection hidden="1"/>
    </xf>
    <xf numFmtId="0" fontId="5" fillId="12" borderId="18" xfId="0" applyFont="1" applyFill="1" applyBorder="1" applyAlignment="1" applyProtection="1">
      <alignment vertical="center"/>
      <protection hidden="1"/>
    </xf>
    <xf numFmtId="0" fontId="5" fillId="12" borderId="4" xfId="0" applyFont="1" applyFill="1" applyBorder="1" applyAlignment="1" applyProtection="1">
      <alignment vertical="center"/>
      <protection hidden="1"/>
    </xf>
    <xf numFmtId="166" fontId="33" fillId="8" borderId="12" xfId="0" applyNumberFormat="1" applyFont="1" applyFill="1" applyBorder="1" applyAlignment="1" applyProtection="1">
      <alignment horizontal="right" vertical="center" indent="1"/>
      <protection hidden="1"/>
    </xf>
    <xf numFmtId="4" fontId="33" fillId="8" borderId="12" xfId="0" applyNumberFormat="1" applyFont="1" applyFill="1" applyBorder="1" applyAlignment="1" applyProtection="1">
      <alignment horizontal="right" vertical="center" indent="1"/>
      <protection hidden="1"/>
    </xf>
    <xf numFmtId="0" fontId="33" fillId="8" borderId="13" xfId="0" applyFont="1" applyFill="1" applyBorder="1" applyAlignment="1" applyProtection="1">
      <alignment horizontal="center" vertical="center"/>
      <protection hidden="1"/>
    </xf>
    <xf numFmtId="175" fontId="5" fillId="8" borderId="12" xfId="0" applyNumberFormat="1" applyFont="1" applyFill="1" applyBorder="1" applyAlignment="1" applyProtection="1">
      <alignment horizontal="center" vertical="center"/>
      <protection hidden="1"/>
    </xf>
    <xf numFmtId="0" fontId="33" fillId="8" borderId="10" xfId="0" applyFont="1" applyFill="1" applyBorder="1" applyAlignment="1" applyProtection="1">
      <alignment horizontal="center" vertical="center"/>
      <protection hidden="1"/>
    </xf>
    <xf numFmtId="175" fontId="5" fillId="8" borderId="7" xfId="0" applyNumberFormat="1" applyFont="1" applyFill="1" applyBorder="1" applyAlignment="1" applyProtection="1">
      <alignment horizontal="center" vertical="center"/>
      <protection hidden="1"/>
    </xf>
    <xf numFmtId="0" fontId="1" fillId="9" borderId="0" xfId="0" applyFont="1" applyFill="1"/>
    <xf numFmtId="0" fontId="1" fillId="9" borderId="0" xfId="0" applyFont="1" applyFill="1" applyAlignment="1">
      <alignment horizontal="right"/>
    </xf>
    <xf numFmtId="14" fontId="1" fillId="9" borderId="0" xfId="0" applyNumberFormat="1" applyFont="1" applyFill="1"/>
    <xf numFmtId="0" fontId="24" fillId="9" borderId="0" xfId="0" quotePrefix="1" applyFont="1" applyFill="1"/>
    <xf numFmtId="0" fontId="46" fillId="9" borderId="0" xfId="0" applyFont="1" applyFill="1"/>
    <xf numFmtId="0" fontId="46" fillId="7" borderId="0" xfId="0" applyFont="1" applyFill="1" applyAlignment="1">
      <alignment vertical="center"/>
    </xf>
    <xf numFmtId="0" fontId="1" fillId="9" borderId="0" xfId="0" applyFont="1" applyFill="1" applyAlignment="1">
      <alignment horizontal="center" wrapText="1"/>
    </xf>
    <xf numFmtId="0" fontId="1" fillId="9" borderId="0" xfId="0" applyFont="1" applyFill="1" applyAlignment="1">
      <alignment vertical="center"/>
    </xf>
    <xf numFmtId="0" fontId="50" fillId="9" borderId="0" xfId="1" applyFont="1" applyFill="1" applyAlignment="1" applyProtection="1">
      <alignment horizontal="left"/>
    </xf>
    <xf numFmtId="0" fontId="1" fillId="12" borderId="1" xfId="0" applyFont="1" applyFill="1" applyBorder="1"/>
    <xf numFmtId="0" fontId="1" fillId="12" borderId="11" xfId="0" applyFont="1" applyFill="1" applyBorder="1"/>
    <xf numFmtId="0" fontId="15" fillId="12" borderId="11" xfId="0" applyFont="1" applyFill="1" applyBorder="1"/>
    <xf numFmtId="0" fontId="35" fillId="12" borderId="21" xfId="0" applyFont="1" applyFill="1" applyBorder="1" applyAlignment="1">
      <alignment horizontal="right"/>
    </xf>
    <xf numFmtId="0" fontId="15" fillId="12" borderId="21" xfId="0" applyFont="1" applyFill="1" applyBorder="1"/>
    <xf numFmtId="0" fontId="1" fillId="12" borderId="20" xfId="0" applyFont="1" applyFill="1" applyBorder="1"/>
    <xf numFmtId="0" fontId="51" fillId="9" borderId="0" xfId="0" applyFont="1" applyFill="1" applyAlignment="1">
      <alignment horizontal="left"/>
    </xf>
    <xf numFmtId="0" fontId="51" fillId="9" borderId="0" xfId="0" applyFont="1" applyFill="1" applyAlignment="1">
      <alignment horizontal="center" wrapText="1"/>
    </xf>
    <xf numFmtId="0" fontId="51" fillId="9" borderId="0" xfId="0" applyFont="1" applyFill="1" applyAlignment="1">
      <alignment wrapText="1"/>
    </xf>
    <xf numFmtId="0" fontId="1" fillId="12" borderId="16" xfId="0" applyFont="1" applyFill="1" applyBorder="1"/>
    <xf numFmtId="0" fontId="1" fillId="12" borderId="8" xfId="0" applyFont="1" applyFill="1" applyBorder="1"/>
    <xf numFmtId="0" fontId="15" fillId="12" borderId="8" xfId="0" applyFont="1" applyFill="1" applyBorder="1"/>
    <xf numFmtId="0" fontId="11" fillId="12" borderId="23" xfId="0" applyFont="1" applyFill="1" applyBorder="1" applyAlignment="1">
      <alignment horizontal="right" vertical="center"/>
    </xf>
    <xf numFmtId="0" fontId="35" fillId="12" borderId="8" xfId="0" applyFont="1" applyFill="1" applyBorder="1" applyAlignment="1">
      <alignment horizontal="right" vertical="center"/>
    </xf>
    <xf numFmtId="0" fontId="1" fillId="12" borderId="14" xfId="0" applyFont="1" applyFill="1" applyBorder="1"/>
    <xf numFmtId="0" fontId="1" fillId="12" borderId="2" xfId="0" applyFont="1" applyFill="1" applyBorder="1"/>
    <xf numFmtId="0" fontId="51" fillId="9" borderId="0" xfId="0" quotePrefix="1" applyFont="1" applyFill="1" applyAlignment="1">
      <alignment horizontal="left"/>
    </xf>
    <xf numFmtId="0" fontId="51" fillId="9" borderId="0" xfId="0" quotePrefix="1" applyFont="1" applyFill="1" applyAlignment="1">
      <alignment horizontal="left" vertical="top"/>
    </xf>
    <xf numFmtId="0" fontId="46" fillId="3" borderId="0" xfId="0" applyFont="1" applyFill="1"/>
    <xf numFmtId="0" fontId="51" fillId="3" borderId="0" xfId="0" applyFont="1" applyFill="1" applyAlignment="1">
      <alignment horizontal="left"/>
    </xf>
    <xf numFmtId="0" fontId="51" fillId="3" borderId="0" xfId="0" applyFont="1" applyFill="1" applyAlignment="1">
      <alignment horizontal="center" wrapText="1"/>
    </xf>
    <xf numFmtId="0" fontId="51" fillId="3" borderId="0" xfId="0" applyFont="1" applyFill="1" applyAlignment="1">
      <alignment wrapText="1"/>
    </xf>
    <xf numFmtId="0" fontId="14" fillId="9" borderId="0" xfId="0" applyFont="1" applyFill="1"/>
    <xf numFmtId="0" fontId="51" fillId="3" borderId="0" xfId="0" applyFont="1" applyFill="1"/>
    <xf numFmtId="0" fontId="46" fillId="12" borderId="0" xfId="0" applyFont="1" applyFill="1"/>
    <xf numFmtId="0" fontId="51" fillId="12" borderId="0" xfId="0" applyFont="1" applyFill="1"/>
    <xf numFmtId="0" fontId="72" fillId="3" borderId="0" xfId="0" applyFont="1" applyFill="1" applyAlignment="1">
      <alignment horizontal="left"/>
    </xf>
    <xf numFmtId="0" fontId="72" fillId="3" borderId="0" xfId="0" applyFont="1" applyFill="1" applyAlignment="1">
      <alignment horizontal="left" vertical="top"/>
    </xf>
    <xf numFmtId="0" fontId="36" fillId="12" borderId="0" xfId="3" applyFont="1" applyFill="1" applyBorder="1" applyProtection="1"/>
    <xf numFmtId="0" fontId="51" fillId="9" borderId="0" xfId="0" applyFont="1" applyFill="1" applyAlignment="1">
      <alignment vertical="top" wrapText="1"/>
    </xf>
    <xf numFmtId="0" fontId="1" fillId="9" borderId="0" xfId="0" applyFont="1" applyFill="1" applyAlignment="1">
      <alignment wrapText="1"/>
    </xf>
    <xf numFmtId="0" fontId="5" fillId="9" borderId="3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 wrapText="1"/>
    </xf>
    <xf numFmtId="3" fontId="5" fillId="9" borderId="9" xfId="0" applyNumberFormat="1" applyFont="1" applyFill="1" applyBorder="1" applyAlignment="1">
      <alignment horizontal="center" vertical="center" wrapText="1"/>
    </xf>
    <xf numFmtId="0" fontId="53" fillId="12" borderId="4" xfId="0" applyFont="1" applyFill="1" applyBorder="1" applyAlignment="1">
      <alignment horizontal="center" vertical="center"/>
    </xf>
    <xf numFmtId="0" fontId="42" fillId="12" borderId="7" xfId="0" applyFont="1" applyFill="1" applyBorder="1" applyAlignment="1">
      <alignment vertical="center"/>
    </xf>
    <xf numFmtId="0" fontId="56" fillId="12" borderId="10" xfId="0" applyFont="1" applyFill="1" applyBorder="1"/>
    <xf numFmtId="0" fontId="70" fillId="9" borderId="0" xfId="0" applyFont="1" applyFill="1"/>
    <xf numFmtId="0" fontId="5" fillId="12" borderId="5" xfId="0" applyFont="1" applyFill="1" applyBorder="1" applyAlignment="1">
      <alignment horizontal="center" vertical="center"/>
    </xf>
    <xf numFmtId="0" fontId="33" fillId="12" borderId="13" xfId="0" applyFont="1" applyFill="1" applyBorder="1" applyAlignment="1">
      <alignment vertical="center"/>
    </xf>
    <xf numFmtId="0" fontId="51" fillId="17" borderId="0" xfId="0" applyFont="1" applyFill="1" applyAlignment="1">
      <alignment vertical="top" wrapText="1"/>
    </xf>
    <xf numFmtId="0" fontId="51" fillId="9" borderId="0" xfId="0" applyFont="1" applyFill="1" applyAlignment="1">
      <alignment vertical="top"/>
    </xf>
    <xf numFmtId="0" fontId="1" fillId="19" borderId="0" xfId="0" applyFont="1" applyFill="1"/>
    <xf numFmtId="0" fontId="1" fillId="18" borderId="0" xfId="0" applyFont="1" applyFill="1"/>
    <xf numFmtId="0" fontId="5" fillId="12" borderId="4" xfId="0" applyFont="1" applyFill="1" applyBorder="1" applyAlignment="1">
      <alignment horizontal="center" vertical="center"/>
    </xf>
    <xf numFmtId="0" fontId="8" fillId="9" borderId="0" xfId="0" applyFont="1" applyFill="1"/>
    <xf numFmtId="0" fontId="33" fillId="12" borderId="8" xfId="0" applyFont="1" applyFill="1" applyBorder="1"/>
    <xf numFmtId="0" fontId="13" fillId="12" borderId="8" xfId="0" applyFont="1" applyFill="1" applyBorder="1"/>
    <xf numFmtId="0" fontId="44" fillId="12" borderId="8" xfId="0" applyFont="1" applyFill="1" applyBorder="1"/>
    <xf numFmtId="164" fontId="13" fillId="12" borderId="8" xfId="0" applyNumberFormat="1" applyFont="1" applyFill="1" applyBorder="1" applyAlignment="1">
      <alignment horizontal="center"/>
    </xf>
    <xf numFmtId="0" fontId="43" fillId="12" borderId="8" xfId="0" applyFont="1" applyFill="1" applyBorder="1"/>
    <xf numFmtId="0" fontId="33" fillId="12" borderId="8" xfId="0" applyFont="1" applyFill="1" applyBorder="1" applyAlignment="1">
      <alignment horizontal="center"/>
    </xf>
    <xf numFmtId="0" fontId="1" fillId="12" borderId="15" xfId="0" applyFont="1" applyFill="1" applyBorder="1"/>
    <xf numFmtId="2" fontId="1" fillId="9" borderId="0" xfId="0" applyNumberFormat="1" applyFont="1" applyFill="1"/>
    <xf numFmtId="22" fontId="1" fillId="9" borderId="0" xfId="0" applyNumberFormat="1" applyFont="1" applyFill="1"/>
    <xf numFmtId="165" fontId="1" fillId="9" borderId="0" xfId="0" applyNumberFormat="1" applyFont="1" applyFill="1"/>
    <xf numFmtId="0" fontId="1" fillId="9" borderId="0" xfId="0" applyFont="1" applyFill="1" applyAlignment="1">
      <alignment horizontal="left" vertical="center" textRotation="90"/>
    </xf>
    <xf numFmtId="0" fontId="1" fillId="12" borderId="0" xfId="0" applyFont="1" applyFill="1"/>
    <xf numFmtId="0" fontId="33" fillId="12" borderId="0" xfId="0" applyFont="1" applyFill="1"/>
    <xf numFmtId="0" fontId="33" fillId="12" borderId="0" xfId="0" applyFont="1" applyFill="1" applyAlignment="1">
      <alignment horizontal="center" wrapText="1"/>
    </xf>
    <xf numFmtId="0" fontId="4" fillId="12" borderId="0" xfId="0" applyFont="1" applyFill="1" applyAlignment="1">
      <alignment horizontal="right" vertical="center"/>
    </xf>
    <xf numFmtId="0" fontId="25" fillId="12" borderId="0" xfId="0" applyFont="1" applyFill="1" applyAlignment="1">
      <alignment horizontal="right" vertical="center"/>
    </xf>
    <xf numFmtId="0" fontId="25" fillId="12" borderId="0" xfId="0" applyFont="1" applyFill="1" applyAlignment="1" applyProtection="1">
      <alignment horizontal="right" vertical="center"/>
      <protection locked="0"/>
    </xf>
    <xf numFmtId="0" fontId="5" fillId="12" borderId="0" xfId="0" applyFont="1" applyFill="1" applyAlignment="1">
      <alignment horizontal="right" vertical="center"/>
    </xf>
    <xf numFmtId="0" fontId="5" fillId="12" borderId="0" xfId="0" applyFont="1" applyFill="1"/>
    <xf numFmtId="0" fontId="5" fillId="12" borderId="0" xfId="0" applyFont="1" applyFill="1" applyAlignment="1">
      <alignment horizontal="left"/>
    </xf>
    <xf numFmtId="0" fontId="5" fillId="12" borderId="0" xfId="0" applyFont="1" applyFill="1" applyAlignment="1">
      <alignment horizontal="right"/>
    </xf>
    <xf numFmtId="0" fontId="37" fillId="12" borderId="0" xfId="0" applyFont="1" applyFill="1"/>
    <xf numFmtId="0" fontId="38" fillId="12" borderId="0" xfId="0" applyFont="1" applyFill="1"/>
    <xf numFmtId="2" fontId="5" fillId="12" borderId="0" xfId="0" applyNumberFormat="1" applyFont="1" applyFill="1" applyAlignment="1">
      <alignment horizontal="left"/>
    </xf>
    <xf numFmtId="0" fontId="33" fillId="12" borderId="0" xfId="0" applyFont="1" applyFill="1" applyAlignment="1">
      <alignment horizontal="right"/>
    </xf>
    <xf numFmtId="0" fontId="5" fillId="7" borderId="0" xfId="0" applyFont="1" applyFill="1" applyAlignment="1" applyProtection="1">
      <alignment horizontal="center" vertical="center"/>
      <protection locked="0"/>
    </xf>
    <xf numFmtId="0" fontId="7" fillId="8" borderId="45" xfId="1" applyFont="1" applyFill="1" applyBorder="1" applyAlignment="1" applyProtection="1">
      <alignment horizontal="center"/>
      <protection hidden="1"/>
    </xf>
    <xf numFmtId="0" fontId="13" fillId="12" borderId="0" xfId="0" applyFont="1" applyFill="1" applyAlignment="1">
      <alignment horizontal="left" vertical="center"/>
    </xf>
    <xf numFmtId="0" fontId="34" fillId="12" borderId="0" xfId="0" applyFont="1" applyFill="1" applyAlignment="1">
      <alignment horizontal="left"/>
    </xf>
    <xf numFmtId="0" fontId="33" fillId="12" borderId="0" xfId="0" applyFont="1" applyFill="1" applyAlignment="1">
      <alignment horizontal="center" vertical="center" wrapText="1"/>
    </xf>
    <xf numFmtId="0" fontId="5" fillId="12" borderId="0" xfId="0" applyFont="1" applyFill="1" applyAlignment="1">
      <alignment horizontal="left" vertical="center"/>
    </xf>
    <xf numFmtId="0" fontId="5" fillId="12" borderId="0" xfId="0" applyFont="1" applyFill="1" applyAlignment="1" applyProtection="1">
      <alignment horizontal="left" vertical="center"/>
      <protection hidden="1"/>
    </xf>
    <xf numFmtId="0" fontId="61" fillId="16" borderId="0" xfId="0" applyFont="1" applyFill="1" applyProtection="1">
      <protection hidden="1"/>
    </xf>
    <xf numFmtId="0" fontId="33" fillId="12" borderId="0" xfId="0" applyFont="1" applyFill="1" applyAlignment="1">
      <alignment horizontal="center" vertical="center"/>
    </xf>
    <xf numFmtId="3" fontId="33" fillId="12" borderId="0" xfId="0" applyNumberFormat="1" applyFont="1" applyFill="1"/>
    <xf numFmtId="166" fontId="33" fillId="12" borderId="0" xfId="0" applyNumberFormat="1" applyFont="1" applyFill="1"/>
    <xf numFmtId="4" fontId="33" fillId="12" borderId="0" xfId="0" applyNumberFormat="1" applyFont="1" applyFill="1"/>
    <xf numFmtId="4" fontId="33" fillId="12" borderId="0" xfId="0" applyNumberFormat="1" applyFont="1" applyFill="1" applyAlignment="1">
      <alignment horizontal="right"/>
    </xf>
    <xf numFmtId="0" fontId="43" fillId="12" borderId="0" xfId="0" applyFont="1" applyFill="1"/>
    <xf numFmtId="164" fontId="5" fillId="12" borderId="0" xfId="0" applyNumberFormat="1" applyFont="1" applyFill="1" applyAlignment="1">
      <alignment horizontal="center"/>
    </xf>
    <xf numFmtId="0" fontId="13" fillId="12" borderId="0" xfId="0" applyFont="1" applyFill="1" applyAlignment="1" applyProtection="1">
      <alignment horizontal="right" vertical="center"/>
      <protection hidden="1"/>
    </xf>
    <xf numFmtId="0" fontId="57" fillId="12" borderId="0" xfId="0" applyFont="1" applyFill="1" applyAlignment="1" applyProtection="1">
      <alignment horizontal="right" vertical="center"/>
      <protection hidden="1"/>
    </xf>
    <xf numFmtId="0" fontId="5" fillId="8" borderId="0" xfId="0" applyFont="1" applyFill="1" applyAlignment="1" applyProtection="1">
      <alignment horizontal="right" vertical="center"/>
      <protection hidden="1"/>
    </xf>
    <xf numFmtId="164" fontId="13" fillId="8" borderId="0" xfId="0" applyNumberFormat="1" applyFont="1" applyFill="1" applyAlignment="1" applyProtection="1">
      <alignment horizontal="right" vertical="center"/>
      <protection hidden="1"/>
    </xf>
    <xf numFmtId="0" fontId="57" fillId="12" borderId="0" xfId="0" applyFont="1" applyFill="1"/>
    <xf numFmtId="0" fontId="33" fillId="12" borderId="0" xfId="0" applyFont="1" applyFill="1" applyAlignment="1">
      <alignment horizontal="center"/>
    </xf>
    <xf numFmtId="0" fontId="0" fillId="0" borderId="0" xfId="0"/>
    <xf numFmtId="0" fontId="33" fillId="12" borderId="0" xfId="0" applyFont="1" applyFill="1" applyAlignment="1">
      <alignment horizontal="center" wrapText="1"/>
    </xf>
    <xf numFmtId="0" fontId="5" fillId="9" borderId="0" xfId="0" applyFont="1" applyFill="1" applyAlignment="1" applyProtection="1">
      <alignment horizontal="center" vertical="center"/>
      <protection hidden="1"/>
    </xf>
    <xf numFmtId="0" fontId="5" fillId="9" borderId="3" xfId="0" applyFont="1" applyFill="1" applyBorder="1" applyAlignment="1" applyProtection="1">
      <alignment horizontal="center" vertical="center"/>
      <protection hidden="1"/>
    </xf>
    <xf numFmtId="0" fontId="5" fillId="7" borderId="0" xfId="0" applyFont="1" applyFill="1" applyAlignment="1" applyProtection="1">
      <alignment horizontal="center" vertical="center"/>
      <protection locked="0"/>
    </xf>
    <xf numFmtId="3" fontId="5" fillId="9" borderId="9" xfId="0" applyNumberFormat="1" applyFont="1" applyFill="1" applyBorder="1" applyAlignment="1" applyProtection="1">
      <alignment horizontal="center" vertical="center" wrapText="1"/>
      <protection hidden="1"/>
    </xf>
    <xf numFmtId="3" fontId="5" fillId="9" borderId="0" xfId="0" applyNumberFormat="1" applyFont="1" applyFill="1" applyAlignment="1" applyProtection="1">
      <alignment horizontal="center" vertical="center" wrapText="1"/>
      <protection hidden="1"/>
    </xf>
    <xf numFmtId="3" fontId="5" fillId="9" borderId="3" xfId="0" applyNumberFormat="1" applyFont="1" applyFill="1" applyBorder="1" applyAlignment="1" applyProtection="1">
      <alignment horizontal="center" vertical="center" wrapText="1"/>
      <protection hidden="1"/>
    </xf>
    <xf numFmtId="0" fontId="12" fillId="7" borderId="21" xfId="0" quotePrefix="1" applyFont="1" applyFill="1" applyBorder="1" applyAlignment="1" applyProtection="1">
      <alignment horizontal="center"/>
      <protection locked="0"/>
    </xf>
    <xf numFmtId="0" fontId="12" fillId="7" borderId="22" xfId="0" quotePrefix="1" applyFont="1" applyFill="1" applyBorder="1" applyAlignment="1" applyProtection="1">
      <alignment horizontal="center"/>
      <protection locked="0"/>
    </xf>
    <xf numFmtId="0" fontId="12" fillId="7" borderId="8" xfId="0" applyFont="1" applyFill="1" applyBorder="1" applyAlignment="1" applyProtection="1">
      <alignment horizontal="center" vertical="center"/>
      <protection locked="0"/>
    </xf>
    <xf numFmtId="0" fontId="12" fillId="7" borderId="15" xfId="0" applyFont="1" applyFill="1" applyBorder="1" applyAlignment="1" applyProtection="1">
      <alignment horizontal="center" vertical="center"/>
      <protection locked="0"/>
    </xf>
    <xf numFmtId="0" fontId="45" fillId="9" borderId="0" xfId="1" applyFont="1" applyFill="1" applyAlignment="1" applyProtection="1">
      <alignment horizontal="left"/>
    </xf>
    <xf numFmtId="2" fontId="33" fillId="12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25" xfId="0" applyBorder="1" applyAlignment="1">
      <alignment horizontal="center"/>
    </xf>
    <xf numFmtId="0" fontId="32" fillId="11" borderId="0" xfId="0" applyFont="1" applyFill="1" applyAlignment="1">
      <alignment horizontal="center"/>
    </xf>
    <xf numFmtId="0" fontId="6" fillId="11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9" fillId="2" borderId="0" xfId="0" applyFont="1" applyFill="1" applyAlignment="1">
      <alignment horizontal="center"/>
    </xf>
    <xf numFmtId="0" fontId="2" fillId="5" borderId="42" xfId="0" applyFont="1" applyFill="1" applyBorder="1" applyAlignment="1">
      <alignment horizontal="center"/>
    </xf>
    <xf numFmtId="0" fontId="2" fillId="5" borderId="24" xfId="0" applyFont="1" applyFill="1" applyBorder="1" applyAlignment="1">
      <alignment horizontal="center"/>
    </xf>
    <xf numFmtId="0" fontId="2" fillId="5" borderId="43" xfId="0" applyFont="1" applyFill="1" applyBorder="1" applyAlignment="1">
      <alignment horizontal="center"/>
    </xf>
    <xf numFmtId="0" fontId="66" fillId="14" borderId="25" xfId="5" applyFont="1" applyBorder="1" applyAlignment="1">
      <alignment horizontal="center"/>
    </xf>
    <xf numFmtId="0" fontId="66" fillId="14" borderId="0" xfId="5" applyFont="1" applyBorder="1" applyAlignment="1">
      <alignment horizontal="center"/>
    </xf>
    <xf numFmtId="0" fontId="66" fillId="14" borderId="44" xfId="5" applyFont="1" applyBorder="1" applyAlignment="1">
      <alignment horizontal="center"/>
    </xf>
    <xf numFmtId="0" fontId="67" fillId="14" borderId="0" xfId="5" applyFont="1" applyAlignment="1">
      <alignment horizontal="center"/>
    </xf>
    <xf numFmtId="0" fontId="5" fillId="12" borderId="0" xfId="0" applyFont="1" applyFill="1" applyBorder="1"/>
    <xf numFmtId="0" fontId="33" fillId="12" borderId="0" xfId="0" applyFont="1" applyFill="1" applyBorder="1"/>
    <xf numFmtId="0" fontId="34" fillId="12" borderId="0" xfId="0" applyFont="1" applyFill="1" applyBorder="1"/>
    <xf numFmtId="0" fontId="5" fillId="12" borderId="0" xfId="0" applyFont="1" applyFill="1" applyBorder="1" applyAlignment="1">
      <alignment horizontal="right" vertical="center"/>
    </xf>
    <xf numFmtId="0" fontId="36" fillId="12" borderId="0" xfId="3" applyFont="1" applyFill="1" applyBorder="1"/>
    <xf numFmtId="0" fontId="5" fillId="12" borderId="0" xfId="0" applyFont="1" applyFill="1" applyBorder="1" applyAlignment="1">
      <alignment horizontal="left"/>
    </xf>
    <xf numFmtId="0" fontId="1" fillId="12" borderId="0" xfId="0" applyFont="1" applyFill="1" applyBorder="1"/>
    <xf numFmtId="0" fontId="33" fillId="12" borderId="0" xfId="0" applyFont="1" applyFill="1" applyBorder="1" applyAlignment="1">
      <alignment horizontal="center" vertical="center" wrapText="1"/>
    </xf>
    <xf numFmtId="167" fontId="5" fillId="12" borderId="0" xfId="0" applyNumberFormat="1" applyFont="1" applyFill="1" applyBorder="1" applyAlignment="1" applyProtection="1">
      <alignment horizontal="center"/>
      <protection locked="0"/>
    </xf>
    <xf numFmtId="0" fontId="5" fillId="12" borderId="0" xfId="0" applyFont="1" applyFill="1" applyBorder="1" applyAlignment="1">
      <alignment horizontal="left" vertical="center"/>
    </xf>
    <xf numFmtId="0" fontId="5" fillId="12" borderId="8" xfId="0" applyFont="1" applyFill="1" applyBorder="1"/>
    <xf numFmtId="0" fontId="5" fillId="12" borderId="8" xfId="0" applyFont="1" applyFill="1" applyBorder="1" applyAlignment="1">
      <alignment horizontal="left"/>
    </xf>
    <xf numFmtId="167" fontId="5" fillId="7" borderId="8" xfId="0" applyNumberFormat="1" applyFont="1" applyFill="1" applyBorder="1" applyAlignment="1" applyProtection="1">
      <alignment horizontal="center" vertical="center"/>
      <protection locked="0"/>
    </xf>
    <xf numFmtId="2" fontId="33" fillId="12" borderId="8" xfId="0" applyNumberFormat="1" applyFont="1" applyFill="1" applyBorder="1" applyAlignment="1">
      <alignment horizontal="left" vertical="center"/>
    </xf>
    <xf numFmtId="0" fontId="5" fillId="12" borderId="8" xfId="0" applyFont="1" applyFill="1" applyBorder="1" applyAlignment="1">
      <alignment vertical="center" wrapText="1"/>
    </xf>
    <xf numFmtId="2" fontId="5" fillId="7" borderId="8" xfId="0" applyNumberFormat="1" applyFont="1" applyFill="1" applyBorder="1" applyAlignment="1" applyProtection="1">
      <alignment horizontal="center" vertical="center"/>
      <protection locked="0"/>
    </xf>
    <xf numFmtId="0" fontId="39" fillId="12" borderId="8" xfId="1" applyFont="1" applyFill="1" applyBorder="1" applyProtection="1">
      <protection hidden="1"/>
    </xf>
    <xf numFmtId="0" fontId="39" fillId="8" borderId="46" xfId="1" applyFont="1" applyFill="1" applyBorder="1" applyProtection="1">
      <protection hidden="1"/>
    </xf>
    <xf numFmtId="0" fontId="40" fillId="12" borderId="8" xfId="0" applyFont="1" applyFill="1" applyBorder="1" applyAlignment="1">
      <alignment horizontal="left"/>
    </xf>
    <xf numFmtId="0" fontId="1" fillId="20" borderId="0" xfId="0" applyFont="1" applyFill="1" applyAlignment="1">
      <alignment vertical="center"/>
    </xf>
    <xf numFmtId="0" fontId="51" fillId="20" borderId="0" xfId="0" applyFont="1" applyFill="1" applyAlignment="1">
      <alignment vertical="center"/>
    </xf>
    <xf numFmtId="0" fontId="46" fillId="20" borderId="0" xfId="0" applyFont="1" applyFill="1" applyAlignment="1">
      <alignment vertical="center"/>
    </xf>
    <xf numFmtId="0" fontId="46" fillId="20" borderId="0" xfId="0" applyFont="1" applyFill="1"/>
    <xf numFmtId="0" fontId="49" fillId="20" borderId="0" xfId="0" quotePrefix="1" applyFont="1" applyFill="1" applyAlignment="1">
      <alignment horizontal="right"/>
    </xf>
    <xf numFmtId="0" fontId="1" fillId="20" borderId="0" xfId="0" applyFont="1" applyFill="1"/>
    <xf numFmtId="0" fontId="1" fillId="12" borderId="47" xfId="0" applyFont="1" applyFill="1" applyBorder="1"/>
    <xf numFmtId="0" fontId="33" fillId="12" borderId="48" xfId="0" applyFont="1" applyFill="1" applyBorder="1"/>
    <xf numFmtId="0" fontId="33" fillId="12" borderId="48" xfId="0" applyFont="1" applyFill="1" applyBorder="1" applyAlignment="1">
      <alignment wrapText="1"/>
    </xf>
    <xf numFmtId="0" fontId="5" fillId="7" borderId="8" xfId="0" applyFont="1" applyFill="1" applyBorder="1" applyAlignment="1" applyProtection="1">
      <alignment horizontal="center" vertical="center"/>
      <protection locked="0"/>
    </xf>
    <xf numFmtId="0" fontId="5" fillId="7" borderId="0" xfId="0" applyFont="1" applyFill="1" applyBorder="1" applyAlignment="1" applyProtection="1">
      <alignment horizontal="center" vertical="center"/>
      <protection locked="0"/>
    </xf>
    <xf numFmtId="0" fontId="7" fillId="8" borderId="50" xfId="1" applyFont="1" applyFill="1" applyBorder="1" applyAlignment="1" applyProtection="1">
      <alignment horizontal="center"/>
      <protection hidden="1"/>
    </xf>
    <xf numFmtId="0" fontId="7" fillId="8" borderId="51" xfId="1" applyFont="1" applyFill="1" applyBorder="1" applyAlignment="1" applyProtection="1">
      <alignment horizontal="center"/>
      <protection hidden="1"/>
    </xf>
    <xf numFmtId="0" fontId="7" fillId="8" borderId="52" xfId="1" applyFont="1" applyFill="1" applyBorder="1" applyAlignment="1" applyProtection="1">
      <alignment horizontal="center"/>
      <protection hidden="1"/>
    </xf>
    <xf numFmtId="0" fontId="7" fillId="8" borderId="53" xfId="1" applyFont="1" applyFill="1" applyBorder="1" applyAlignment="1" applyProtection="1">
      <alignment horizontal="center"/>
      <protection hidden="1"/>
    </xf>
    <xf numFmtId="0" fontId="7" fillId="8" borderId="54" xfId="1" applyFont="1" applyFill="1" applyBorder="1" applyAlignment="1" applyProtection="1">
      <alignment horizontal="center"/>
      <protection hidden="1"/>
    </xf>
    <xf numFmtId="0" fontId="39" fillId="8" borderId="55" xfId="1" applyFont="1" applyFill="1" applyBorder="1" applyProtection="1">
      <protection hidden="1"/>
    </xf>
    <xf numFmtId="0" fontId="39" fillId="8" borderId="56" xfId="1" applyFont="1" applyFill="1" applyBorder="1" applyProtection="1">
      <protection hidden="1"/>
    </xf>
    <xf numFmtId="0" fontId="73" fillId="12" borderId="49" xfId="0" applyFont="1" applyFill="1" applyBorder="1" applyAlignment="1">
      <alignment horizontal="center"/>
    </xf>
    <xf numFmtId="0" fontId="74" fillId="9" borderId="0" xfId="0" applyFont="1" applyFill="1" applyAlignment="1">
      <alignment horizontal="center" vertical="center" textRotation="90"/>
    </xf>
    <xf numFmtId="0" fontId="74" fillId="9" borderId="2" xfId="0" applyFont="1" applyFill="1" applyBorder="1" applyAlignment="1">
      <alignment horizontal="center" vertical="center" textRotation="90"/>
    </xf>
  </cellXfs>
  <cellStyles count="6">
    <cellStyle name="Explanatory Text" xfId="1" builtinId="53"/>
    <cellStyle name="Good" xfId="4" builtinId="26"/>
    <cellStyle name="Hyperlink" xfId="3" builtinId="8"/>
    <cellStyle name="Neutral" xfId="5" builtinId="28"/>
    <cellStyle name="Normal" xfId="0" builtinId="0"/>
    <cellStyle name="Percent 2" xfId="2" xr:uid="{00000000-0005-0000-0000-000004000000}"/>
  </cellStyles>
  <dxfs count="20"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CC"/>
      <color rgb="FF00FF00"/>
      <color rgb="FFFF6600"/>
      <color rgb="FFFF9900"/>
      <color rgb="FFF3F9FB"/>
      <color rgb="FFFFFFF3"/>
      <color rgb="FFCC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1094814</xdr:colOff>
      <xdr:row>5</xdr:row>
      <xdr:rowOff>33169</xdr:rowOff>
    </xdr:from>
    <xdr:to>
      <xdr:col>17</xdr:col>
      <xdr:colOff>2474034</xdr:colOff>
      <xdr:row>7</xdr:row>
      <xdr:rowOff>163759</xdr:rowOff>
    </xdr:to>
    <xdr:pic>
      <xdr:nvPicPr>
        <xdr:cNvPr id="1324" name="Picture 12">
          <a:extLst>
            <a:ext uri="{FF2B5EF4-FFF2-40B4-BE49-F238E27FC236}">
              <a16:creationId xmlns:a16="http://schemas.microsoft.com/office/drawing/2014/main" id="{00000000-0008-0000-0000-00002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8402" y="992393"/>
          <a:ext cx="1379220" cy="4981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997300</xdr:colOff>
      <xdr:row>7</xdr:row>
      <xdr:rowOff>203480</xdr:rowOff>
    </xdr:from>
    <xdr:to>
      <xdr:col>17</xdr:col>
      <xdr:colOff>1710014</xdr:colOff>
      <xdr:row>9</xdr:row>
      <xdr:rowOff>26895</xdr:rowOff>
    </xdr:to>
    <xdr:pic>
      <xdr:nvPicPr>
        <xdr:cNvPr id="1326" name="Picture 25">
          <a:extLst>
            <a:ext uri="{FF2B5EF4-FFF2-40B4-BE49-F238E27FC236}">
              <a16:creationId xmlns:a16="http://schemas.microsoft.com/office/drawing/2014/main" id="{00000000-0008-0000-0000-00002E05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691" b="13503"/>
        <a:stretch>
          <a:fillRect/>
        </a:stretch>
      </xdr:blipFill>
      <xdr:spPr bwMode="auto">
        <a:xfrm>
          <a:off x="10880888" y="1530256"/>
          <a:ext cx="712714" cy="2223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117425</xdr:colOff>
      <xdr:row>5</xdr:row>
      <xdr:rowOff>24552</xdr:rowOff>
    </xdr:from>
    <xdr:to>
      <xdr:col>14</xdr:col>
      <xdr:colOff>34566</xdr:colOff>
      <xdr:row>19</xdr:row>
      <xdr:rowOff>70582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1348" y="979983"/>
          <a:ext cx="1798695" cy="2979730"/>
        </a:xfrm>
        <a:prstGeom prst="rect">
          <a:avLst/>
        </a:prstGeom>
        <a:noFill/>
        <a:ln w="9525">
          <a:solidFill>
            <a:sysClr val="windowText" lastClr="000000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1718981</xdr:colOff>
      <xdr:row>7</xdr:row>
      <xdr:rowOff>177054</xdr:rowOff>
    </xdr:from>
    <xdr:to>
      <xdr:col>17</xdr:col>
      <xdr:colOff>2737596</xdr:colOff>
      <xdr:row>9</xdr:row>
      <xdr:rowOff>54507</xdr:rowOff>
    </xdr:to>
    <xdr:pic>
      <xdr:nvPicPr>
        <xdr:cNvPr id="2" name="Picture 25">
          <a:extLst>
            <a:ext uri="{FF2B5EF4-FFF2-40B4-BE49-F238E27FC236}">
              <a16:creationId xmlns:a16="http://schemas.microsoft.com/office/drawing/2014/main" id="{CA034C1A-4179-4FA1-B05D-F5153ECF14C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970" t="-8381" b="-1"/>
        <a:stretch>
          <a:fillRect/>
        </a:stretch>
      </xdr:blipFill>
      <xdr:spPr bwMode="auto">
        <a:xfrm>
          <a:off x="11602569" y="1503830"/>
          <a:ext cx="1018615" cy="2763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900953</xdr:colOff>
      <xdr:row>13</xdr:row>
      <xdr:rowOff>14654</xdr:rowOff>
    </xdr:from>
    <xdr:to>
      <xdr:col>12</xdr:col>
      <xdr:colOff>120162</xdr:colOff>
      <xdr:row>13</xdr:row>
      <xdr:rowOff>17929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6801D1FB-D119-B9D1-9FD8-A90FE25D2B12}"/>
            </a:ext>
          </a:extLst>
        </xdr:cNvPr>
        <xdr:cNvCxnSpPr/>
      </xdr:nvCxnSpPr>
      <xdr:spPr>
        <a:xfrm flipV="1">
          <a:off x="2076191" y="2716823"/>
          <a:ext cx="4227894" cy="32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60.Facility.ESTEC@esa.in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JA162"/>
  <sheetViews>
    <sheetView tabSelected="1" zoomScale="55" zoomScaleNormal="55" workbookViewId="0">
      <selection activeCell="H8" sqref="H8:I8"/>
    </sheetView>
  </sheetViews>
  <sheetFormatPr defaultColWidth="9.15625" defaultRowHeight="10.199999999999999" x14ac:dyDescent="0.35"/>
  <cols>
    <col min="1" max="1" width="5.83984375" style="190" customWidth="1"/>
    <col min="2" max="2" width="1.26171875" style="190" customWidth="1"/>
    <col min="3" max="3" width="3" style="190" customWidth="1"/>
    <col min="4" max="4" width="5.15625" style="190" customWidth="1"/>
    <col min="5" max="5" width="1" style="190" customWidth="1"/>
    <col min="6" max="6" width="13.41796875" style="190" customWidth="1"/>
    <col min="7" max="7" width="1" style="190" customWidth="1"/>
    <col min="8" max="8" width="11.68359375" style="190" customWidth="1"/>
    <col min="9" max="11" width="14" style="190" customWidth="1"/>
    <col min="12" max="12" width="1" style="190" customWidth="1"/>
    <col min="13" max="13" width="6.83984375" style="190" bestFit="1" customWidth="1"/>
    <col min="14" max="14" width="19.15625" style="190" customWidth="1"/>
    <col min="15" max="15" width="1" style="190" customWidth="1"/>
    <col min="16" max="16" width="5.15625" style="190" customWidth="1"/>
    <col min="17" max="17" width="19.15625" style="190" customWidth="1"/>
    <col min="18" max="18" width="52" style="190" customWidth="1"/>
    <col min="19" max="20" width="1.68359375" style="190" customWidth="1"/>
    <col min="21" max="21" width="2.41796875" style="190" customWidth="1"/>
    <col min="22" max="22" width="5.15625" style="190" customWidth="1"/>
    <col min="23" max="26" width="8.578125" style="190" customWidth="1"/>
    <col min="27" max="27" width="8.83984375" style="190" customWidth="1"/>
    <col min="28" max="30" width="7.83984375" style="190" customWidth="1"/>
    <col min="31" max="218" width="8.578125" style="190" customWidth="1"/>
    <col min="219" max="219" width="34.15625" style="190" customWidth="1"/>
    <col min="220" max="220" width="29.26171875" style="190" customWidth="1"/>
    <col min="221" max="221" width="6.15625" style="190" customWidth="1"/>
    <col min="222" max="222" width="43.83984375" style="190" customWidth="1"/>
    <col min="223" max="223" width="14.41796875" style="190" customWidth="1"/>
    <col min="224" max="231" width="9.15625" style="190"/>
    <col min="232" max="232" width="9.15625" style="191"/>
    <col min="233" max="235" width="9.15625" style="190"/>
    <col min="236" max="236" width="4.41796875" style="190" customWidth="1"/>
    <col min="237" max="237" width="4.83984375" style="190" customWidth="1"/>
    <col min="238" max="239" width="5.26171875" style="190" customWidth="1"/>
    <col min="240" max="240" width="11.578125" style="192" customWidth="1"/>
    <col min="241" max="244" width="2.26171875" style="190" customWidth="1"/>
    <col min="245" max="16384" width="9.15625" style="190"/>
  </cols>
  <sheetData>
    <row r="1" spans="2:261" ht="10.5" customHeight="1" x14ac:dyDescent="0.35"/>
    <row r="2" spans="2:261" ht="19" customHeight="1" x14ac:dyDescent="0.95">
      <c r="D2" s="193"/>
      <c r="F2" s="194"/>
      <c r="G2" s="194"/>
      <c r="H2" s="194"/>
      <c r="I2" s="194"/>
      <c r="J2" s="194"/>
      <c r="K2" s="195"/>
      <c r="L2" s="195"/>
      <c r="M2" s="195"/>
      <c r="N2" s="115" t="s">
        <v>417</v>
      </c>
      <c r="O2" s="195"/>
      <c r="P2" s="195"/>
      <c r="Q2" s="195"/>
      <c r="R2" s="343"/>
      <c r="S2" s="342"/>
      <c r="T2" s="342"/>
      <c r="U2" s="342"/>
      <c r="V2" s="303" t="s">
        <v>26</v>
      </c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3"/>
      <c r="AH2" s="303"/>
      <c r="AI2" s="196"/>
    </row>
    <row r="3" spans="2:261" ht="8.5" customHeight="1" thickBot="1" x14ac:dyDescent="1">
      <c r="D3" s="193"/>
      <c r="K3" s="197"/>
      <c r="L3" s="197"/>
      <c r="M3" s="197"/>
      <c r="N3" s="111"/>
      <c r="O3" s="197"/>
      <c r="P3" s="197"/>
      <c r="Q3" s="197"/>
      <c r="R3" s="193"/>
      <c r="U3" s="344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6"/>
    </row>
    <row r="4" spans="2:261" ht="23.1" customHeight="1" x14ac:dyDescent="0.7">
      <c r="B4" s="199"/>
      <c r="C4" s="200"/>
      <c r="D4" s="201"/>
      <c r="E4" s="201"/>
      <c r="F4" s="202" t="s">
        <v>287</v>
      </c>
      <c r="G4" s="203"/>
      <c r="H4" s="299" t="s">
        <v>327</v>
      </c>
      <c r="I4" s="300"/>
      <c r="J4" s="200"/>
      <c r="K4" s="200"/>
      <c r="L4" s="200"/>
      <c r="M4" s="200"/>
      <c r="N4" s="116" t="s">
        <v>322</v>
      </c>
      <c r="O4" s="200"/>
      <c r="P4" s="200"/>
      <c r="Q4" s="200"/>
      <c r="R4" s="200"/>
      <c r="S4" s="204"/>
      <c r="U4" s="339"/>
      <c r="V4" s="205" t="s">
        <v>323</v>
      </c>
      <c r="W4" s="206"/>
      <c r="Y4" s="206"/>
      <c r="Z4" s="207"/>
      <c r="AA4" s="206"/>
      <c r="AB4" s="206"/>
      <c r="AC4" s="206"/>
      <c r="AD4" s="206"/>
      <c r="AE4" s="206"/>
      <c r="AF4" s="206"/>
      <c r="AG4" s="206"/>
      <c r="AH4" s="206"/>
      <c r="AI4" s="196"/>
    </row>
    <row r="5" spans="2:261" ht="14.4" thickBot="1" x14ac:dyDescent="0.5">
      <c r="B5" s="208"/>
      <c r="C5" s="209"/>
      <c r="D5" s="210"/>
      <c r="E5" s="211"/>
      <c r="F5" s="212" t="s">
        <v>21</v>
      </c>
      <c r="G5" s="212"/>
      <c r="H5" s="301">
        <v>0</v>
      </c>
      <c r="I5" s="302"/>
      <c r="J5" s="256"/>
      <c r="K5" s="256"/>
      <c r="L5" s="256"/>
      <c r="M5" s="256"/>
      <c r="N5" s="256"/>
      <c r="O5" s="256"/>
      <c r="P5" s="256"/>
      <c r="Q5" s="256"/>
      <c r="R5" s="256"/>
      <c r="S5" s="213"/>
      <c r="U5" s="339"/>
      <c r="V5" s="205" t="s">
        <v>314</v>
      </c>
      <c r="W5" s="206"/>
      <c r="X5" s="206"/>
      <c r="Y5" s="206"/>
      <c r="Z5" s="207"/>
      <c r="AA5" s="206"/>
      <c r="AB5" s="206"/>
      <c r="AC5" s="206"/>
      <c r="AD5" s="206"/>
      <c r="AE5" s="206"/>
      <c r="AF5" s="206"/>
      <c r="AG5" s="206"/>
      <c r="AH5" s="206"/>
      <c r="AI5" s="196"/>
    </row>
    <row r="6" spans="2:261" ht="15" x14ac:dyDescent="0.45">
      <c r="B6" s="214"/>
      <c r="C6" s="256"/>
      <c r="D6" s="256"/>
      <c r="E6" s="259"/>
      <c r="F6" s="260"/>
      <c r="G6" s="260"/>
      <c r="H6" s="261"/>
      <c r="I6" s="256"/>
      <c r="J6" s="256"/>
      <c r="K6" s="256"/>
      <c r="L6" s="256"/>
      <c r="M6" s="256"/>
      <c r="N6" s="256"/>
      <c r="O6" s="256"/>
      <c r="P6" s="256"/>
      <c r="Q6" s="256"/>
      <c r="R6" s="345"/>
      <c r="S6" s="213"/>
      <c r="U6" s="339"/>
      <c r="V6" s="215" t="s">
        <v>324</v>
      </c>
      <c r="W6" s="206"/>
      <c r="X6" s="206"/>
      <c r="Y6" s="206"/>
      <c r="Z6" s="207"/>
      <c r="AA6" s="206"/>
      <c r="AB6" s="206"/>
      <c r="AC6" s="206"/>
      <c r="AD6" s="206"/>
      <c r="AE6" s="206"/>
      <c r="AF6" s="206"/>
      <c r="AG6" s="206"/>
      <c r="AH6" s="206"/>
      <c r="AI6" s="196"/>
    </row>
    <row r="7" spans="2:261" ht="13.8" x14ac:dyDescent="0.45">
      <c r="B7" s="214"/>
      <c r="C7" s="256"/>
      <c r="D7" s="256"/>
      <c r="E7" s="256"/>
      <c r="F7" s="256"/>
      <c r="G7" s="262"/>
      <c r="H7" s="256"/>
      <c r="I7" s="256"/>
      <c r="J7" s="304"/>
      <c r="K7" s="304"/>
      <c r="L7" s="257"/>
      <c r="M7" s="257"/>
      <c r="N7" s="257"/>
      <c r="O7" s="257"/>
      <c r="P7" s="257"/>
      <c r="Q7" s="257"/>
      <c r="R7" s="346"/>
      <c r="S7" s="213"/>
      <c r="U7" s="339"/>
      <c r="V7" s="215" t="s">
        <v>325</v>
      </c>
      <c r="W7" s="194"/>
      <c r="X7" s="194"/>
      <c r="Y7" s="206"/>
      <c r="Z7" s="207"/>
      <c r="AA7" s="206"/>
      <c r="AB7" s="206"/>
      <c r="AC7" s="206"/>
      <c r="AD7" s="206"/>
      <c r="AE7" s="206"/>
      <c r="AF7" s="206"/>
      <c r="AG7" s="206"/>
      <c r="AH7" s="206"/>
      <c r="AI7" s="196"/>
    </row>
    <row r="8" spans="2:261" ht="24" customHeight="1" thickBot="1" x14ac:dyDescent="0.5">
      <c r="B8" s="208"/>
      <c r="C8" s="330" t="s">
        <v>284</v>
      </c>
      <c r="D8" s="331" t="s">
        <v>6</v>
      </c>
      <c r="E8" s="245"/>
      <c r="F8" s="245"/>
      <c r="G8" s="245"/>
      <c r="H8" s="332">
        <v>46027.395833333336</v>
      </c>
      <c r="I8" s="332"/>
      <c r="J8" s="333" t="str">
        <f>TEXT(H8,"dddd")</f>
        <v>Monday</v>
      </c>
      <c r="K8" s="333"/>
      <c r="L8" s="265"/>
      <c r="M8" s="265"/>
      <c r="N8" s="265"/>
      <c r="O8" s="265"/>
      <c r="P8" s="265"/>
      <c r="Q8" s="266"/>
      <c r="R8" s="346"/>
      <c r="S8" s="213"/>
      <c r="U8" s="339"/>
      <c r="V8" s="216" t="s">
        <v>326</v>
      </c>
      <c r="W8" s="194"/>
      <c r="X8" s="194"/>
      <c r="Y8" s="194"/>
      <c r="Z8" s="194"/>
      <c r="AA8" s="194"/>
      <c r="AB8" s="194"/>
      <c r="AC8" s="194"/>
      <c r="AD8" s="194"/>
      <c r="AE8" s="194"/>
      <c r="AF8" s="194"/>
      <c r="AG8" s="194"/>
      <c r="AH8" s="206"/>
      <c r="AI8" s="196"/>
    </row>
    <row r="9" spans="2:261" ht="7.5" customHeight="1" x14ac:dyDescent="0.45">
      <c r="B9" s="214"/>
      <c r="C9" s="320"/>
      <c r="D9" s="321"/>
      <c r="E9" s="321"/>
      <c r="F9" s="321"/>
      <c r="G9" s="323"/>
      <c r="H9" s="328"/>
      <c r="I9" s="328"/>
      <c r="J9" s="328"/>
      <c r="K9" s="328"/>
      <c r="L9" s="265"/>
      <c r="M9" s="265"/>
      <c r="N9" s="265"/>
      <c r="O9" s="265"/>
      <c r="P9" s="265"/>
      <c r="Q9" s="266"/>
      <c r="R9" s="347"/>
      <c r="S9" s="213"/>
      <c r="U9" s="339"/>
      <c r="V9" s="194"/>
      <c r="W9" s="194"/>
      <c r="X9" s="194"/>
      <c r="Y9" s="194"/>
      <c r="Z9" s="194"/>
      <c r="AA9" s="194"/>
      <c r="AB9" s="194"/>
      <c r="AC9" s="194"/>
      <c r="AD9" s="194"/>
      <c r="AE9" s="194"/>
      <c r="AF9" s="194"/>
      <c r="AG9" s="194"/>
      <c r="AH9" s="206"/>
      <c r="AI9" s="196"/>
    </row>
    <row r="10" spans="2:261" ht="23.1" customHeight="1" thickBot="1" x14ac:dyDescent="0.55000000000000004">
      <c r="B10" s="208"/>
      <c r="C10" s="330" t="s">
        <v>285</v>
      </c>
      <c r="D10" s="330" t="s">
        <v>27</v>
      </c>
      <c r="E10" s="330"/>
      <c r="F10" s="330"/>
      <c r="G10" s="330"/>
      <c r="H10" s="330"/>
      <c r="I10" s="334"/>
      <c r="J10" s="335">
        <v>1</v>
      </c>
      <c r="K10" s="335"/>
      <c r="L10" s="257"/>
      <c r="M10" s="257"/>
      <c r="N10" s="257"/>
      <c r="O10" s="257"/>
      <c r="P10" s="257"/>
      <c r="Q10" s="267"/>
      <c r="R10" s="357" t="s">
        <v>424</v>
      </c>
      <c r="S10" s="213"/>
      <c r="U10" s="339"/>
      <c r="V10" s="340" t="s">
        <v>319</v>
      </c>
      <c r="W10" s="341"/>
      <c r="X10" s="341"/>
      <c r="Y10" s="341"/>
      <c r="Z10" s="341"/>
      <c r="AA10" s="341"/>
      <c r="AB10" s="341"/>
      <c r="AC10" s="341"/>
      <c r="AD10" s="341"/>
      <c r="AE10" s="341"/>
      <c r="AF10" s="341"/>
      <c r="AG10" s="341"/>
      <c r="AH10" s="341"/>
      <c r="AI10" s="196"/>
    </row>
    <row r="11" spans="2:261" ht="18" customHeight="1" thickBot="1" x14ac:dyDescent="0.55000000000000004">
      <c r="B11" s="214"/>
      <c r="C11" s="263"/>
      <c r="D11" s="263"/>
      <c r="E11" s="263"/>
      <c r="F11" s="257"/>
      <c r="G11" s="257"/>
      <c r="H11" s="257"/>
      <c r="I11" s="262"/>
      <c r="J11" s="268"/>
      <c r="K11" s="257"/>
      <c r="L11" s="257"/>
      <c r="M11" s="257"/>
      <c r="N11" s="269"/>
      <c r="O11" s="269"/>
      <c r="P11" s="269"/>
      <c r="Q11" s="267"/>
      <c r="R11" s="292" t="s">
        <v>289</v>
      </c>
      <c r="S11" s="213"/>
      <c r="U11" s="339"/>
      <c r="V11" s="217"/>
      <c r="W11" s="218" t="s">
        <v>28</v>
      </c>
      <c r="X11" s="219"/>
      <c r="Y11" s="219"/>
      <c r="Z11" s="220"/>
      <c r="AA11" s="219"/>
      <c r="AB11" s="219"/>
      <c r="AC11" s="219"/>
      <c r="AD11" s="219"/>
      <c r="AE11" s="219"/>
      <c r="AF11" s="219"/>
      <c r="AG11" s="219"/>
      <c r="AH11" s="219"/>
      <c r="AI11" s="196"/>
    </row>
    <row r="12" spans="2:261" ht="18" customHeight="1" x14ac:dyDescent="0.55000000000000004">
      <c r="B12" s="214"/>
      <c r="C12" s="263" t="s">
        <v>282</v>
      </c>
      <c r="D12" s="263" t="s">
        <v>422</v>
      </c>
      <c r="E12" s="257"/>
      <c r="F12" s="257"/>
      <c r="G12" s="257"/>
      <c r="H12" s="350" t="s">
        <v>290</v>
      </c>
      <c r="I12" s="351" t="s">
        <v>12</v>
      </c>
      <c r="J12" s="352" t="s">
        <v>13</v>
      </c>
      <c r="K12" s="257"/>
      <c r="L12" s="264"/>
      <c r="M12" s="264"/>
      <c r="N12" s="292"/>
      <c r="O12" s="292"/>
      <c r="P12" s="292"/>
      <c r="Q12" s="292"/>
      <c r="R12" s="292"/>
      <c r="S12" s="213"/>
      <c r="U12" s="339"/>
      <c r="V12" s="217"/>
      <c r="W12" s="218" t="s">
        <v>321</v>
      </c>
      <c r="X12" s="219"/>
      <c r="Y12" s="219"/>
      <c r="Z12" s="220"/>
      <c r="AA12" s="219"/>
      <c r="AB12" s="219"/>
      <c r="AC12" s="219"/>
      <c r="AD12" s="219"/>
      <c r="AE12" s="219"/>
      <c r="AF12" s="219"/>
      <c r="AG12" s="219"/>
      <c r="AH12" s="219"/>
      <c r="AI12" s="196"/>
    </row>
    <row r="13" spans="2:261" ht="18" customHeight="1" x14ac:dyDescent="0.55000000000000004">
      <c r="B13" s="214"/>
      <c r="C13" s="263"/>
      <c r="D13" s="257"/>
      <c r="E13" s="257"/>
      <c r="F13" s="295">
        <v>11</v>
      </c>
      <c r="G13" s="349"/>
      <c r="H13" s="353" t="str">
        <f>VLOOKUP($F13,convert_units,2,FALSE)</f>
        <v>rad</v>
      </c>
      <c r="I13" s="271" t="str">
        <f>VLOOKUP($F13,convert_units,4,FALSE)</f>
        <v>hrs</v>
      </c>
      <c r="J13" s="354" t="str">
        <f>VLOOKUP($F13,convert_units,3,FALSE)</f>
        <v>cm</v>
      </c>
      <c r="K13" s="257"/>
      <c r="L13" s="264"/>
      <c r="M13" s="264"/>
      <c r="N13" s="292"/>
      <c r="O13" s="292"/>
      <c r="P13" s="292"/>
      <c r="Q13" s="292"/>
      <c r="R13" s="292"/>
      <c r="S13" s="213"/>
      <c r="U13" s="339"/>
      <c r="V13" s="217"/>
      <c r="W13" s="218" t="s">
        <v>281</v>
      </c>
      <c r="X13" s="219"/>
      <c r="Y13" s="219"/>
      <c r="Z13" s="220"/>
      <c r="AA13" s="219"/>
      <c r="AB13" s="219"/>
      <c r="AC13" s="218"/>
      <c r="AD13" s="219"/>
      <c r="AE13" s="219"/>
      <c r="AF13" s="219"/>
      <c r="AG13" s="219"/>
      <c r="AH13" s="219"/>
      <c r="AI13" s="196"/>
      <c r="JA13" s="221"/>
    </row>
    <row r="14" spans="2:261" ht="18" customHeight="1" thickBot="1" x14ac:dyDescent="0.55000000000000004">
      <c r="B14" s="208"/>
      <c r="C14" s="330"/>
      <c r="D14" s="336"/>
      <c r="E14" s="336"/>
      <c r="F14" s="348"/>
      <c r="G14" s="348"/>
      <c r="H14" s="355"/>
      <c r="I14" s="337"/>
      <c r="J14" s="356"/>
      <c r="K14" s="245"/>
      <c r="L14" s="257"/>
      <c r="M14" s="257"/>
      <c r="N14" s="292"/>
      <c r="O14" s="292"/>
      <c r="P14" s="292"/>
      <c r="Q14" s="292"/>
      <c r="R14" s="292"/>
      <c r="S14" s="213"/>
      <c r="U14" s="339"/>
      <c r="V14" s="222"/>
      <c r="W14" s="218" t="s">
        <v>25</v>
      </c>
      <c r="X14" s="217"/>
      <c r="Y14" s="219"/>
      <c r="Z14" s="219"/>
      <c r="AA14" s="219"/>
      <c r="AB14" s="219"/>
      <c r="AC14" s="219"/>
      <c r="AD14" s="219"/>
      <c r="AE14" s="219"/>
      <c r="AF14" s="219"/>
      <c r="AG14" s="219"/>
      <c r="AH14" s="219"/>
      <c r="AI14" s="196"/>
      <c r="HX14" s="190"/>
      <c r="IF14" s="190"/>
    </row>
    <row r="15" spans="2:261" ht="18" customHeight="1" x14ac:dyDescent="0.45">
      <c r="B15" s="214"/>
      <c r="C15" s="263"/>
      <c r="D15" s="263"/>
      <c r="E15" s="257"/>
      <c r="F15" s="257"/>
      <c r="G15" s="257"/>
      <c r="H15" s="257"/>
      <c r="I15" s="262"/>
      <c r="J15" s="268"/>
      <c r="K15" s="257"/>
      <c r="L15" s="257"/>
      <c r="M15" s="257"/>
      <c r="N15" s="292"/>
      <c r="O15" s="292"/>
      <c r="P15" s="292"/>
      <c r="Q15" s="292"/>
      <c r="R15" s="257"/>
      <c r="S15" s="213"/>
      <c r="U15" s="339"/>
      <c r="V15" s="222"/>
      <c r="W15" s="218" t="s">
        <v>317</v>
      </c>
      <c r="X15" s="217"/>
      <c r="Y15" s="219"/>
      <c r="Z15" s="219"/>
      <c r="AA15" s="219"/>
      <c r="AB15" s="219"/>
      <c r="AC15" s="219"/>
      <c r="AD15" s="219"/>
      <c r="AE15" s="219"/>
      <c r="AF15" s="219"/>
      <c r="AG15" s="219"/>
      <c r="AH15" s="219"/>
      <c r="AI15" s="196"/>
      <c r="HX15" s="190"/>
      <c r="IF15" s="190"/>
    </row>
    <row r="16" spans="2:261" ht="18" customHeight="1" x14ac:dyDescent="0.45">
      <c r="B16" s="214"/>
      <c r="C16" s="263" t="s">
        <v>283</v>
      </c>
      <c r="D16" s="263" t="s">
        <v>18</v>
      </c>
      <c r="E16" s="257"/>
      <c r="F16" s="262"/>
      <c r="G16" s="262"/>
      <c r="H16" s="270">
        <v>360</v>
      </c>
      <c r="I16" s="272" t="str">
        <f>"["&amp;H13&amp;"/"&amp;I13&amp;"] (to Si)*"</f>
        <v>[rad/hrs] (to Si)*</v>
      </c>
      <c r="J16" s="268"/>
      <c r="K16" s="257"/>
      <c r="L16" s="257"/>
      <c r="M16" s="257"/>
      <c r="N16" s="258"/>
      <c r="O16" s="258"/>
      <c r="P16" s="258"/>
      <c r="Q16" s="258"/>
      <c r="R16" s="257"/>
      <c r="S16" s="213"/>
      <c r="U16" s="339"/>
      <c r="V16" s="222"/>
      <c r="W16" s="223" t="s">
        <v>416</v>
      </c>
      <c r="X16" s="217"/>
      <c r="Y16" s="219"/>
      <c r="Z16" s="219"/>
      <c r="AA16" s="219"/>
      <c r="AB16" s="219"/>
      <c r="AC16" s="219"/>
      <c r="AD16" s="219"/>
      <c r="AE16" s="219"/>
      <c r="AF16" s="219"/>
      <c r="AG16" s="219"/>
      <c r="AH16" s="219"/>
      <c r="AI16" s="196"/>
      <c r="HX16" s="190"/>
      <c r="IF16" s="190"/>
    </row>
    <row r="17" spans="2:240" ht="12.75" customHeight="1" x14ac:dyDescent="0.45">
      <c r="B17" s="214"/>
      <c r="C17" s="263"/>
      <c r="D17" s="263"/>
      <c r="E17" s="257"/>
      <c r="F17" s="257"/>
      <c r="G17" s="257"/>
      <c r="H17" s="257"/>
      <c r="I17" s="262"/>
      <c r="J17" s="268"/>
      <c r="K17" s="257"/>
      <c r="L17" s="257"/>
      <c r="M17" s="257"/>
      <c r="N17" s="258"/>
      <c r="O17" s="258"/>
      <c r="P17" s="258"/>
      <c r="Q17" s="258"/>
      <c r="R17" s="257"/>
      <c r="S17" s="213"/>
      <c r="U17" s="339"/>
      <c r="V17" s="224"/>
      <c r="W17" s="223" t="s">
        <v>415</v>
      </c>
      <c r="X17" s="223"/>
      <c r="Y17" s="223"/>
      <c r="Z17" s="223"/>
      <c r="AA17" s="223"/>
      <c r="AB17" s="223"/>
      <c r="AC17" s="225"/>
      <c r="AD17" s="223"/>
      <c r="AE17" s="223"/>
      <c r="AF17" s="223"/>
      <c r="AG17" s="223"/>
      <c r="AH17" s="223"/>
      <c r="AI17" s="196"/>
      <c r="HX17" s="190"/>
      <c r="IF17" s="190"/>
    </row>
    <row r="18" spans="2:240" ht="13.8" x14ac:dyDescent="0.45">
      <c r="B18" s="214"/>
      <c r="C18" s="263"/>
      <c r="D18" s="263"/>
      <c r="E18" s="257"/>
      <c r="F18" s="273" t="s">
        <v>318</v>
      </c>
      <c r="G18" s="257"/>
      <c r="H18" s="257"/>
      <c r="I18" s="262"/>
      <c r="J18" s="268"/>
      <c r="K18" s="257"/>
      <c r="L18" s="257"/>
      <c r="M18" s="257"/>
      <c r="N18" s="258"/>
      <c r="O18" s="258"/>
      <c r="P18" s="258"/>
      <c r="Q18" s="258"/>
      <c r="R18" s="257"/>
      <c r="S18" s="213"/>
      <c r="U18" s="339"/>
      <c r="V18" s="224"/>
      <c r="W18" s="223"/>
      <c r="X18" s="223"/>
      <c r="Y18" s="223"/>
      <c r="Z18" s="223"/>
      <c r="AA18" s="223"/>
      <c r="AB18" s="223"/>
      <c r="AC18" s="226"/>
      <c r="AD18" s="223"/>
      <c r="AE18" s="223"/>
      <c r="AF18" s="223"/>
      <c r="AG18" s="223"/>
      <c r="AH18" s="223"/>
      <c r="AI18" s="196"/>
      <c r="HX18" s="190"/>
      <c r="IF18" s="190"/>
    </row>
    <row r="19" spans="2:240" ht="13" customHeight="1" x14ac:dyDescent="0.4">
      <c r="B19" s="214"/>
      <c r="C19" s="256"/>
      <c r="D19" s="256"/>
      <c r="E19" s="256"/>
      <c r="F19" s="273" t="s">
        <v>288</v>
      </c>
      <c r="G19" s="256"/>
      <c r="H19" s="256"/>
      <c r="I19" s="256"/>
      <c r="J19" s="256"/>
      <c r="K19" s="256"/>
      <c r="L19" s="264"/>
      <c r="M19" s="264"/>
      <c r="N19" s="256"/>
      <c r="O19" s="274"/>
      <c r="P19" s="274"/>
      <c r="Q19" s="274"/>
      <c r="R19" s="256"/>
      <c r="S19" s="213"/>
      <c r="U19" s="339"/>
      <c r="V19" s="339" t="s">
        <v>320</v>
      </c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196"/>
      <c r="HX19" s="190"/>
      <c r="IF19" s="190"/>
    </row>
    <row r="20" spans="2:240" ht="13" customHeight="1" x14ac:dyDescent="0.45">
      <c r="B20" s="214"/>
      <c r="C20" s="320"/>
      <c r="D20" s="321"/>
      <c r="E20" s="321"/>
      <c r="F20" s="322" t="s">
        <v>423</v>
      </c>
      <c r="G20" s="323"/>
      <c r="H20" s="323"/>
      <c r="I20" s="321"/>
      <c r="J20" s="324" t="s">
        <v>313</v>
      </c>
      <c r="K20" s="227"/>
      <c r="L20" s="325"/>
      <c r="M20" s="325"/>
      <c r="N20" s="326"/>
      <c r="O20" s="327"/>
      <c r="P20" s="327"/>
      <c r="Q20" s="327"/>
      <c r="R20" s="326"/>
      <c r="S20" s="213"/>
      <c r="V20" s="228"/>
      <c r="W20" s="228"/>
      <c r="X20" s="228"/>
      <c r="Y20" s="228"/>
      <c r="Z20" s="228"/>
      <c r="AA20" s="228"/>
      <c r="AB20" s="228"/>
      <c r="AC20" s="228"/>
      <c r="AD20" s="228"/>
      <c r="AE20" s="228"/>
      <c r="AF20" s="228"/>
      <c r="AG20" s="228"/>
      <c r="AH20" s="206"/>
      <c r="AI20" s="196"/>
      <c r="HX20" s="190"/>
      <c r="IF20" s="190"/>
    </row>
    <row r="21" spans="2:240" ht="3.75" customHeight="1" thickBot="1" x14ac:dyDescent="0.5">
      <c r="B21" s="208"/>
      <c r="C21" s="330"/>
      <c r="D21" s="338"/>
      <c r="E21" s="338"/>
      <c r="F21" s="338"/>
      <c r="G21" s="338"/>
      <c r="H21" s="338"/>
      <c r="I21" s="245"/>
      <c r="J21" s="338"/>
      <c r="K21" s="338"/>
      <c r="L21" s="338"/>
      <c r="M21" s="338"/>
      <c r="N21" s="338"/>
      <c r="O21" s="338"/>
      <c r="P21" s="338"/>
      <c r="Q21" s="338"/>
      <c r="R21" s="338"/>
      <c r="S21" s="251"/>
      <c r="V21" s="228"/>
      <c r="W21" s="228"/>
      <c r="X21" s="228"/>
      <c r="Y21" s="228"/>
      <c r="Z21" s="228"/>
      <c r="AA21" s="228"/>
      <c r="AB21" s="228"/>
      <c r="AC21" s="228"/>
      <c r="AD21" s="228"/>
      <c r="AE21" s="228"/>
      <c r="AF21" s="228"/>
      <c r="AG21" s="228"/>
      <c r="AH21" s="194"/>
      <c r="HX21" s="190"/>
      <c r="IF21" s="190"/>
    </row>
    <row r="22" spans="2:240" ht="15.75" customHeight="1" x14ac:dyDescent="0.4">
      <c r="B22" s="214"/>
      <c r="C22" s="263"/>
      <c r="D22" s="329"/>
      <c r="E22" s="329"/>
      <c r="F22" s="329"/>
      <c r="G22" s="329"/>
      <c r="H22" s="329"/>
      <c r="I22" s="329"/>
      <c r="J22" s="329"/>
      <c r="K22" s="329"/>
      <c r="L22" s="329"/>
      <c r="M22" s="329"/>
      <c r="N22" s="329"/>
      <c r="O22" s="329"/>
      <c r="P22" s="329"/>
      <c r="Q22" s="329"/>
      <c r="R22" s="329"/>
      <c r="S22" s="213"/>
      <c r="V22" s="228"/>
      <c r="W22" s="228"/>
      <c r="X22" s="228"/>
      <c r="Y22" s="228"/>
      <c r="Z22" s="228"/>
      <c r="AA22" s="228"/>
      <c r="AB22" s="228"/>
      <c r="AC22" s="228"/>
      <c r="AD22" s="228"/>
      <c r="AE22" s="228"/>
      <c r="AF22" s="228"/>
      <c r="AG22" s="228"/>
      <c r="AI22" s="229"/>
      <c r="HX22" s="190"/>
      <c r="IF22" s="190"/>
    </row>
    <row r="23" spans="2:240" ht="15.75" customHeight="1" x14ac:dyDescent="0.4">
      <c r="B23" s="214"/>
      <c r="C23" s="263" t="s">
        <v>286</v>
      </c>
      <c r="D23" s="275" t="s">
        <v>5</v>
      </c>
      <c r="E23" s="275"/>
      <c r="F23" s="275"/>
      <c r="G23" s="276"/>
      <c r="H23" s="275"/>
      <c r="I23" s="275"/>
      <c r="J23" s="275"/>
      <c r="K23" s="275"/>
      <c r="L23" s="275"/>
      <c r="M23" s="275"/>
      <c r="N23" s="275"/>
      <c r="O23" s="275"/>
      <c r="P23" s="275"/>
      <c r="Q23" s="275"/>
      <c r="R23" s="275"/>
      <c r="S23" s="213"/>
      <c r="W23" s="228"/>
      <c r="X23" s="228"/>
      <c r="Y23" s="228"/>
      <c r="Z23" s="228"/>
      <c r="AA23" s="228"/>
      <c r="AB23" s="228"/>
      <c r="AC23" s="228"/>
      <c r="AD23" s="228"/>
      <c r="AE23" s="228"/>
      <c r="AF23" s="228"/>
      <c r="AG23" s="228"/>
      <c r="HX23" s="190"/>
      <c r="IF23" s="190"/>
    </row>
    <row r="24" spans="2:240" ht="41.25" customHeight="1" x14ac:dyDescent="0.55000000000000004">
      <c r="B24" s="214"/>
      <c r="C24" s="257"/>
      <c r="D24" s="230" t="s">
        <v>1</v>
      </c>
      <c r="E24" s="172"/>
      <c r="F24" s="231" t="s">
        <v>420</v>
      </c>
      <c r="G24" s="173"/>
      <c r="H24" s="231" t="s">
        <v>280</v>
      </c>
      <c r="I24" s="173" t="s">
        <v>15</v>
      </c>
      <c r="J24" s="174" t="s">
        <v>419</v>
      </c>
      <c r="K24" s="175" t="s">
        <v>16</v>
      </c>
      <c r="L24" s="296" t="s">
        <v>418</v>
      </c>
      <c r="M24" s="297"/>
      <c r="N24" s="297"/>
      <c r="O24" s="297"/>
      <c r="P24" s="297"/>
      <c r="Q24" s="298"/>
      <c r="R24" s="232"/>
      <c r="S24" s="213"/>
      <c r="V24" s="205" t="s">
        <v>414</v>
      </c>
      <c r="W24" s="228"/>
      <c r="X24" s="228"/>
      <c r="Y24" s="228"/>
      <c r="Z24" s="228"/>
      <c r="AA24" s="228"/>
      <c r="AB24" s="228"/>
      <c r="AC24" s="228"/>
      <c r="AD24" s="228"/>
      <c r="AE24" s="228"/>
      <c r="AF24" s="228"/>
      <c r="AG24" s="228"/>
      <c r="AH24" s="114"/>
      <c r="HX24" s="190"/>
      <c r="IF24" s="190"/>
    </row>
    <row r="25" spans="2:240" ht="15" customHeight="1" x14ac:dyDescent="0.45">
      <c r="B25" s="214"/>
      <c r="C25" s="257"/>
      <c r="D25" s="230"/>
      <c r="E25" s="172"/>
      <c r="F25" s="231" t="str">
        <f>"["&amp;H13&amp;"]"</f>
        <v>[rad]</v>
      </c>
      <c r="G25" s="173"/>
      <c r="H25" s="231" t="str">
        <f>"["&amp;H13&amp;"/"&amp;I13&amp;"]"</f>
        <v>[rad/hrs]</v>
      </c>
      <c r="I25" s="173" t="str">
        <f>"["&amp;J13&amp;"]"</f>
        <v>[cm]</v>
      </c>
      <c r="J25" s="173" t="str">
        <f>"["&amp;J13&amp;"]"</f>
        <v>[cm]</v>
      </c>
      <c r="K25" s="175" t="str">
        <f>"["&amp;I13&amp;"]"</f>
        <v>[hrs]</v>
      </c>
      <c r="L25" s="176"/>
      <c r="M25" s="293" t="s">
        <v>0</v>
      </c>
      <c r="N25" s="293"/>
      <c r="O25" s="293"/>
      <c r="P25" s="293" t="s">
        <v>2</v>
      </c>
      <c r="Q25" s="294"/>
      <c r="R25" s="232" t="s">
        <v>23</v>
      </c>
      <c r="S25" s="213"/>
      <c r="Z25" s="228"/>
      <c r="AA25" s="228"/>
      <c r="AB25" s="228"/>
      <c r="AC25" s="228"/>
      <c r="AD25" s="228"/>
      <c r="AE25" s="228"/>
      <c r="AF25" s="228"/>
      <c r="AG25" s="228"/>
      <c r="AH25" s="206"/>
      <c r="AI25" s="196"/>
      <c r="HX25" s="190"/>
      <c r="IF25" s="190"/>
    </row>
    <row r="26" spans="2:240" ht="14.5" customHeight="1" x14ac:dyDescent="0.5">
      <c r="B26" s="214"/>
      <c r="C26" s="257"/>
      <c r="D26" s="233">
        <v>0</v>
      </c>
      <c r="E26" s="177"/>
      <c r="F26" s="234"/>
      <c r="G26" s="178"/>
      <c r="H26" s="234"/>
      <c r="I26" s="178"/>
      <c r="J26" s="178"/>
      <c r="K26" s="179"/>
      <c r="L26" s="180"/>
      <c r="M26" s="181"/>
      <c r="N26" s="182"/>
      <c r="O26" s="180"/>
      <c r="P26" s="182"/>
      <c r="Q26" s="183"/>
      <c r="R26" s="235"/>
      <c r="S26" s="213"/>
      <c r="V26" s="236" t="s">
        <v>409</v>
      </c>
      <c r="W26" s="228"/>
      <c r="X26" s="228"/>
      <c r="Y26" s="228"/>
      <c r="Z26" s="228"/>
      <c r="AA26" s="228"/>
      <c r="AB26" s="228"/>
      <c r="AC26" s="228"/>
      <c r="AD26" s="228"/>
      <c r="AE26" s="228"/>
      <c r="AF26" s="228"/>
      <c r="AG26" s="228"/>
      <c r="AH26" s="194"/>
      <c r="HX26" s="190"/>
      <c r="IF26" s="190"/>
    </row>
    <row r="27" spans="2:240" ht="21" customHeight="1" x14ac:dyDescent="0.4">
      <c r="B27" s="214"/>
      <c r="C27" s="257"/>
      <c r="D27" s="237">
        <v>1</v>
      </c>
      <c r="E27" s="277">
        <f>Check_data!B27</f>
        <v>0</v>
      </c>
      <c r="F27" s="112">
        <v>10000</v>
      </c>
      <c r="G27" s="277">
        <f>Check_data!C27</f>
        <v>0</v>
      </c>
      <c r="H27" s="113">
        <f>IF(F27="","",$H$16)</f>
        <v>360</v>
      </c>
      <c r="I27" s="184">
        <f t="shared" ref="I27:I38" si="0">IF(F27="","",(Activity_at_reload_date*Co60constant*self_absorption_coefficient*EXP(-LN(2)/half_life*(N27-(Date_of_reload))*(24*3600))/(H27/0.898*VLOOKUP($F$13,convert_units,5,FALSE)*VLOOKUP($F$13,convert_units,7,FALSE)))^0.5*VLOOKUP($F$13,convert_units,6,FALSE))</f>
        <v>193.82922639916936</v>
      </c>
      <c r="J27" s="185">
        <f t="shared" ref="J27:J38" si="1">IF(F27="","",(2*((0.25*((I27*1000/VLOOKUP($F$13,convert_units,6,FALSE)))-30)))*VLOOKUP($F$13,convert_units,6,FALSE)/1000)</f>
        <v>90.914613199584679</v>
      </c>
      <c r="K27" s="185">
        <f>IF(F27="","",(F27-F26)/$H27)</f>
        <v>27.777777777777779</v>
      </c>
      <c r="L27" s="277">
        <f>Check_data!D27</f>
        <v>0</v>
      </c>
      <c r="M27" s="186" t="str">
        <f>TEXT(N27,"ddd")</f>
        <v>Mon</v>
      </c>
      <c r="N27" s="187">
        <f>+H8</f>
        <v>46027.395833333336</v>
      </c>
      <c r="O27" s="277">
        <f>Check_data!E27</f>
        <v>0</v>
      </c>
      <c r="P27" s="186" t="str">
        <f>TEXT(Q27,"ddd")</f>
        <v>Tue</v>
      </c>
      <c r="Q27" s="187">
        <f>IF(K27="",N27,N27+K27/(24*VLOOKUP($F$13,convert_units,7,FALSE)))</f>
        <v>46028.553240740745</v>
      </c>
      <c r="R27" s="238" t="str">
        <f>IF(Check_data!B7=0,"",Check_data!B7)</f>
        <v>-</v>
      </c>
      <c r="S27" s="213"/>
      <c r="V27" s="239"/>
      <c r="W27" s="240" t="s">
        <v>410</v>
      </c>
      <c r="X27" s="228"/>
      <c r="Y27" s="228"/>
      <c r="Z27" s="228"/>
      <c r="AA27" s="228"/>
      <c r="AB27" s="228"/>
      <c r="AC27" s="228"/>
      <c r="AD27" s="228"/>
      <c r="AE27" s="228"/>
      <c r="AF27" s="228"/>
      <c r="AG27" s="228"/>
      <c r="HX27" s="190"/>
      <c r="IF27" s="190"/>
    </row>
    <row r="28" spans="2:240" ht="21" customHeight="1" x14ac:dyDescent="0.4">
      <c r="B28" s="214"/>
      <c r="C28" s="257"/>
      <c r="D28" s="237">
        <v>2</v>
      </c>
      <c r="E28" s="277">
        <f>Check_data!B28</f>
        <v>2</v>
      </c>
      <c r="F28" s="112"/>
      <c r="G28" s="277">
        <f>Check_data!C28</f>
        <v>0</v>
      </c>
      <c r="H28" s="113" t="str">
        <f t="shared" ref="H28:H38" si="2">IF(F28="","",$H$16)</f>
        <v/>
      </c>
      <c r="I28" s="184" t="str">
        <f t="shared" si="0"/>
        <v/>
      </c>
      <c r="J28" s="185" t="str">
        <f t="shared" si="1"/>
        <v/>
      </c>
      <c r="K28" s="185" t="str">
        <f t="shared" ref="K28:K38" si="3">IF(F28="","",(F28-F27)/$H28)</f>
        <v/>
      </c>
      <c r="L28" s="277">
        <f>Check_data!D28</f>
        <v>0</v>
      </c>
      <c r="M28" s="186" t="str">
        <f t="shared" ref="M28:M40" si="4">TEXT(N28,"ddd")</f>
        <v/>
      </c>
      <c r="N28" s="187" t="str">
        <f>IF(ISBLANK(F28),"",IF(K28="",Q27,Q27+$J$10/24))</f>
        <v/>
      </c>
      <c r="O28" s="277">
        <f>Check_data!E28</f>
        <v>0</v>
      </c>
      <c r="P28" s="186" t="str">
        <f t="shared" ref="P28:P38" si="5">TEXT(Q28,"ddd")</f>
        <v/>
      </c>
      <c r="Q28" s="187" t="str">
        <f t="shared" ref="Q28:Q38" si="6">IF(ISBLANK(F28),"",IF(K28="",N28,N28+K28/(24*VLOOKUP($F$13,convert_units,7,FALSE))))</f>
        <v/>
      </c>
      <c r="R28" s="238" t="str">
        <f>IF(Check_data!B8=0,"",Check_data!B8)</f>
        <v>please fill in:  Target TID, [target dose rate]</v>
      </c>
      <c r="S28" s="213"/>
      <c r="V28" s="241"/>
      <c r="W28" s="240" t="s">
        <v>411</v>
      </c>
      <c r="X28" s="228"/>
      <c r="Y28" s="228"/>
      <c r="Z28" s="228"/>
      <c r="AA28" s="228"/>
      <c r="AB28" s="228"/>
      <c r="AC28" s="228"/>
      <c r="AD28" s="228"/>
      <c r="AE28" s="228"/>
      <c r="AF28" s="228"/>
      <c r="AG28" s="228"/>
      <c r="HX28" s="190"/>
      <c r="IF28" s="190"/>
    </row>
    <row r="29" spans="2:240" ht="21" customHeight="1" x14ac:dyDescent="0.55000000000000004">
      <c r="B29" s="214"/>
      <c r="C29" s="257"/>
      <c r="D29" s="237">
        <v>3</v>
      </c>
      <c r="E29" s="277">
        <f>Check_data!B29</f>
        <v>2</v>
      </c>
      <c r="F29" s="117"/>
      <c r="G29" s="277">
        <f>Check_data!C29</f>
        <v>0</v>
      </c>
      <c r="H29" s="113" t="str">
        <f t="shared" si="2"/>
        <v/>
      </c>
      <c r="I29" s="184" t="str">
        <f t="shared" si="0"/>
        <v/>
      </c>
      <c r="J29" s="185" t="str">
        <f t="shared" si="1"/>
        <v/>
      </c>
      <c r="K29" s="185" t="str">
        <f t="shared" si="3"/>
        <v/>
      </c>
      <c r="L29" s="277">
        <f>Check_data!D29</f>
        <v>0</v>
      </c>
      <c r="M29" s="188" t="str">
        <f t="shared" ref="M29" si="7">TEXT(N29,"ddd")</f>
        <v/>
      </c>
      <c r="N29" s="189" t="str">
        <f t="shared" ref="N29" si="8">IF(ISBLANK(F29),"",IF(K29="",Q28,Q28+$J$10/24))</f>
        <v/>
      </c>
      <c r="O29" s="277">
        <f>Check_data!E29</f>
        <v>0</v>
      </c>
      <c r="P29" s="188" t="str">
        <f t="shared" ref="P29" si="9">TEXT(Q29,"ddd")</f>
        <v/>
      </c>
      <c r="Q29" s="189" t="str">
        <f t="shared" si="6"/>
        <v/>
      </c>
      <c r="R29" s="238" t="str">
        <f>IF(Check_data!B9=0,"",Check_data!B9)</f>
        <v>please fill in:  Target TID, [target dose rate]</v>
      </c>
      <c r="S29" s="213"/>
      <c r="V29" s="242"/>
      <c r="W29" s="240" t="s">
        <v>412</v>
      </c>
      <c r="X29" s="228"/>
      <c r="Y29" s="228"/>
      <c r="Z29" s="228"/>
      <c r="AA29" s="228"/>
      <c r="AB29" s="228"/>
      <c r="AC29" s="228"/>
      <c r="AD29" s="228"/>
      <c r="AE29" s="228"/>
      <c r="AF29" s="228"/>
      <c r="AG29" s="228"/>
      <c r="AH29" s="228"/>
      <c r="AI29" s="228"/>
      <c r="AJ29" s="114"/>
      <c r="AK29" s="114"/>
      <c r="HX29" s="190"/>
      <c r="IF29" s="190"/>
    </row>
    <row r="30" spans="2:240" ht="21" customHeight="1" x14ac:dyDescent="0.55000000000000004">
      <c r="B30" s="214"/>
      <c r="C30" s="257"/>
      <c r="D30" s="243">
        <v>4</v>
      </c>
      <c r="E30" s="277">
        <f>Check_data!B30</f>
        <v>2</v>
      </c>
      <c r="F30" s="117"/>
      <c r="G30" s="277">
        <f>Check_data!C30</f>
        <v>0</v>
      </c>
      <c r="H30" s="113" t="str">
        <f t="shared" si="2"/>
        <v/>
      </c>
      <c r="I30" s="184" t="str">
        <f t="shared" si="0"/>
        <v/>
      </c>
      <c r="J30" s="185" t="str">
        <f t="shared" si="1"/>
        <v/>
      </c>
      <c r="K30" s="185" t="str">
        <f t="shared" si="3"/>
        <v/>
      </c>
      <c r="L30" s="277">
        <f>Check_data!D30</f>
        <v>0</v>
      </c>
      <c r="M30" s="188" t="str">
        <f t="shared" si="4"/>
        <v/>
      </c>
      <c r="N30" s="189" t="str">
        <f t="shared" ref="N30:N38" si="10">IF(ISBLANK(F30),"",IF(K30="",Q29,Q29+$J$10/24))</f>
        <v/>
      </c>
      <c r="O30" s="277">
        <f>Check_data!E30</f>
        <v>0</v>
      </c>
      <c r="P30" s="188" t="str">
        <f t="shared" si="5"/>
        <v/>
      </c>
      <c r="Q30" s="189" t="str">
        <f t="shared" si="6"/>
        <v/>
      </c>
      <c r="R30" s="238" t="str">
        <f>IF(Check_data!B10=0,"",Check_data!B10)</f>
        <v>please fill in:  Target TID, [target dose rate]</v>
      </c>
      <c r="S30" s="213"/>
      <c r="V30" s="240" t="s">
        <v>413</v>
      </c>
      <c r="AE30" s="114"/>
      <c r="AF30" s="114"/>
      <c r="AG30" s="114"/>
      <c r="AH30" s="114"/>
      <c r="AI30" s="114"/>
      <c r="AJ30" s="114"/>
      <c r="AK30" s="114"/>
      <c r="HX30" s="190"/>
      <c r="IF30" s="190"/>
    </row>
    <row r="31" spans="2:240" ht="21" customHeight="1" x14ac:dyDescent="0.55000000000000004">
      <c r="B31" s="214"/>
      <c r="C31" s="257"/>
      <c r="D31" s="237">
        <v>5</v>
      </c>
      <c r="E31" s="277">
        <f>Check_data!B31</f>
        <v>2</v>
      </c>
      <c r="F31" s="112"/>
      <c r="G31" s="277">
        <f>Check_data!C31</f>
        <v>0</v>
      </c>
      <c r="H31" s="113" t="str">
        <f t="shared" si="2"/>
        <v/>
      </c>
      <c r="I31" s="184" t="str">
        <f t="shared" si="0"/>
        <v/>
      </c>
      <c r="J31" s="185" t="str">
        <f t="shared" si="1"/>
        <v/>
      </c>
      <c r="K31" s="185" t="str">
        <f t="shared" si="3"/>
        <v/>
      </c>
      <c r="L31" s="277">
        <f>Check_data!D31</f>
        <v>0</v>
      </c>
      <c r="M31" s="186" t="str">
        <f t="shared" si="4"/>
        <v/>
      </c>
      <c r="N31" s="187" t="str">
        <f t="shared" si="10"/>
        <v/>
      </c>
      <c r="O31" s="277">
        <f>Check_data!E31</f>
        <v>0</v>
      </c>
      <c r="P31" s="186" t="str">
        <f t="shared" si="5"/>
        <v/>
      </c>
      <c r="Q31" s="189" t="str">
        <f t="shared" si="6"/>
        <v/>
      </c>
      <c r="R31" s="238" t="str">
        <f>IF(Check_data!B11=0,"",Check_data!B11)</f>
        <v>please fill in:  Target TID, [target dose rate]</v>
      </c>
      <c r="S31" s="213"/>
      <c r="T31" s="359" t="s">
        <v>421</v>
      </c>
      <c r="U31" s="358"/>
      <c r="AE31" s="114"/>
      <c r="AF31" s="114"/>
      <c r="AG31" s="114"/>
      <c r="AH31" s="114"/>
      <c r="AI31" s="114"/>
      <c r="AJ31" s="114"/>
      <c r="AK31" s="114"/>
      <c r="AL31" s="244"/>
      <c r="AM31" s="244"/>
      <c r="AN31" s="244"/>
      <c r="AO31" s="244"/>
      <c r="AP31" s="244"/>
      <c r="HX31" s="190"/>
      <c r="IF31" s="190"/>
    </row>
    <row r="32" spans="2:240" ht="21" customHeight="1" x14ac:dyDescent="0.55000000000000004">
      <c r="B32" s="214"/>
      <c r="C32" s="257"/>
      <c r="D32" s="237">
        <v>6</v>
      </c>
      <c r="E32" s="277">
        <f>Check_data!B32</f>
        <v>2</v>
      </c>
      <c r="F32" s="112"/>
      <c r="G32" s="277">
        <f>Check_data!C32</f>
        <v>0</v>
      </c>
      <c r="H32" s="113" t="str">
        <f t="shared" si="2"/>
        <v/>
      </c>
      <c r="I32" s="184" t="str">
        <f t="shared" si="0"/>
        <v/>
      </c>
      <c r="J32" s="185" t="str">
        <f t="shared" si="1"/>
        <v/>
      </c>
      <c r="K32" s="185" t="str">
        <f t="shared" si="3"/>
        <v/>
      </c>
      <c r="L32" s="277">
        <f>Check_data!D32</f>
        <v>0</v>
      </c>
      <c r="M32" s="186" t="str">
        <f t="shared" si="4"/>
        <v/>
      </c>
      <c r="N32" s="187" t="str">
        <f t="shared" si="10"/>
        <v/>
      </c>
      <c r="O32" s="277">
        <f>Check_data!E32</f>
        <v>0</v>
      </c>
      <c r="P32" s="186" t="str">
        <f t="shared" si="5"/>
        <v/>
      </c>
      <c r="Q32" s="189" t="str">
        <f t="shared" si="6"/>
        <v/>
      </c>
      <c r="R32" s="238" t="str">
        <f>IF(Check_data!B12=0,"",Check_data!B12)</f>
        <v>please fill in:  Target TID, [target dose rate]</v>
      </c>
      <c r="S32" s="213"/>
      <c r="T32" s="359"/>
      <c r="U32" s="358"/>
      <c r="AE32" s="114"/>
      <c r="AF32" s="114"/>
      <c r="AG32" s="114"/>
      <c r="AH32" s="114"/>
      <c r="AI32" s="114"/>
      <c r="AJ32" s="114"/>
      <c r="AK32" s="114"/>
      <c r="AL32" s="244"/>
      <c r="AM32" s="244"/>
      <c r="AN32" s="244"/>
      <c r="AO32" s="244"/>
      <c r="AP32" s="244"/>
      <c r="HX32" s="190"/>
      <c r="IF32" s="190"/>
    </row>
    <row r="33" spans="2:240" ht="21" customHeight="1" x14ac:dyDescent="0.55000000000000004">
      <c r="B33" s="214"/>
      <c r="C33" s="257"/>
      <c r="D33" s="237">
        <v>7</v>
      </c>
      <c r="E33" s="277">
        <f>Check_data!B33</f>
        <v>2</v>
      </c>
      <c r="F33" s="112"/>
      <c r="G33" s="277">
        <f>Check_data!C33</f>
        <v>0</v>
      </c>
      <c r="H33" s="113" t="str">
        <f t="shared" si="2"/>
        <v/>
      </c>
      <c r="I33" s="184" t="str">
        <f t="shared" si="0"/>
        <v/>
      </c>
      <c r="J33" s="185" t="str">
        <f t="shared" si="1"/>
        <v/>
      </c>
      <c r="K33" s="185" t="str">
        <f t="shared" si="3"/>
        <v/>
      </c>
      <c r="L33" s="277">
        <f>Check_data!D33</f>
        <v>0</v>
      </c>
      <c r="M33" s="186" t="str">
        <f t="shared" si="4"/>
        <v/>
      </c>
      <c r="N33" s="187" t="str">
        <f t="shared" si="10"/>
        <v/>
      </c>
      <c r="O33" s="277">
        <f>Check_data!E33</f>
        <v>0</v>
      </c>
      <c r="P33" s="186" t="str">
        <f t="shared" si="5"/>
        <v/>
      </c>
      <c r="Q33" s="189" t="str">
        <f t="shared" si="6"/>
        <v/>
      </c>
      <c r="R33" s="238" t="str">
        <f>IF(Check_data!B13=0,"",Check_data!B13)</f>
        <v>please fill in:  Target TID, [target dose rate]</v>
      </c>
      <c r="S33" s="213"/>
      <c r="T33" s="359"/>
      <c r="U33" s="358"/>
      <c r="AE33" s="114"/>
      <c r="AF33" s="114"/>
      <c r="AG33" s="114"/>
      <c r="AH33" s="114"/>
      <c r="AI33" s="114"/>
      <c r="AJ33" s="114"/>
      <c r="AK33" s="114"/>
      <c r="AL33" s="244"/>
      <c r="AM33" s="244"/>
      <c r="AN33" s="244"/>
      <c r="AO33" s="244"/>
      <c r="AP33" s="244"/>
      <c r="HX33" s="190"/>
      <c r="IF33" s="190"/>
    </row>
    <row r="34" spans="2:240" ht="21" customHeight="1" x14ac:dyDescent="0.55000000000000004">
      <c r="B34" s="214"/>
      <c r="C34" s="257"/>
      <c r="D34" s="237">
        <v>8</v>
      </c>
      <c r="E34" s="277">
        <f>Check_data!B34</f>
        <v>2</v>
      </c>
      <c r="F34" s="112"/>
      <c r="G34" s="277">
        <f>Check_data!C34</f>
        <v>0</v>
      </c>
      <c r="H34" s="113" t="str">
        <f t="shared" si="2"/>
        <v/>
      </c>
      <c r="I34" s="184" t="str">
        <f t="shared" si="0"/>
        <v/>
      </c>
      <c r="J34" s="185" t="str">
        <f t="shared" si="1"/>
        <v/>
      </c>
      <c r="K34" s="185" t="str">
        <f t="shared" si="3"/>
        <v/>
      </c>
      <c r="L34" s="277">
        <f>Check_data!D34</f>
        <v>0</v>
      </c>
      <c r="M34" s="186" t="str">
        <f t="shared" si="4"/>
        <v/>
      </c>
      <c r="N34" s="187" t="str">
        <f t="shared" si="10"/>
        <v/>
      </c>
      <c r="O34" s="277">
        <f>Check_data!E34</f>
        <v>0</v>
      </c>
      <c r="P34" s="186" t="str">
        <f t="shared" si="5"/>
        <v/>
      </c>
      <c r="Q34" s="189" t="str">
        <f t="shared" si="6"/>
        <v/>
      </c>
      <c r="R34" s="238" t="str">
        <f>IF(Check_data!B14=0,"",Check_data!B14)</f>
        <v>please fill in:  Target TID, [target dose rate]</v>
      </c>
      <c r="S34" s="213"/>
      <c r="T34" s="359"/>
      <c r="U34" s="358"/>
      <c r="AE34" s="114"/>
      <c r="AF34" s="114"/>
      <c r="AG34" s="114"/>
      <c r="AH34" s="114"/>
      <c r="AI34" s="114"/>
      <c r="AJ34" s="114"/>
      <c r="AK34" s="114"/>
      <c r="AL34" s="244"/>
      <c r="AM34" s="244"/>
      <c r="AN34" s="244"/>
      <c r="AO34" s="244"/>
      <c r="AP34" s="244"/>
      <c r="HX34" s="190"/>
      <c r="IF34" s="190"/>
    </row>
    <row r="35" spans="2:240" ht="21" customHeight="1" x14ac:dyDescent="0.55000000000000004">
      <c r="B35" s="214"/>
      <c r="C35" s="257"/>
      <c r="D35" s="237">
        <v>9</v>
      </c>
      <c r="E35" s="277">
        <f>Check_data!B35</f>
        <v>2</v>
      </c>
      <c r="F35" s="112"/>
      <c r="G35" s="277">
        <f>Check_data!C35</f>
        <v>0</v>
      </c>
      <c r="H35" s="113" t="str">
        <f t="shared" si="2"/>
        <v/>
      </c>
      <c r="I35" s="184" t="str">
        <f t="shared" si="0"/>
        <v/>
      </c>
      <c r="J35" s="185" t="str">
        <f t="shared" si="1"/>
        <v/>
      </c>
      <c r="K35" s="185" t="str">
        <f t="shared" si="3"/>
        <v/>
      </c>
      <c r="L35" s="277">
        <f>Check_data!D35</f>
        <v>0</v>
      </c>
      <c r="M35" s="186" t="str">
        <f t="shared" si="4"/>
        <v/>
      </c>
      <c r="N35" s="187" t="str">
        <f t="shared" si="10"/>
        <v/>
      </c>
      <c r="O35" s="277">
        <f>Check_data!E35</f>
        <v>0</v>
      </c>
      <c r="P35" s="186" t="str">
        <f t="shared" si="5"/>
        <v/>
      </c>
      <c r="Q35" s="189" t="str">
        <f t="shared" si="6"/>
        <v/>
      </c>
      <c r="R35" s="238" t="str">
        <f>IF(Check_data!B15=0,"",Check_data!B15)</f>
        <v>please fill in:  Target TID, [target dose rate]</v>
      </c>
      <c r="S35" s="213"/>
      <c r="T35" s="359"/>
      <c r="U35" s="358"/>
      <c r="AE35" s="114"/>
      <c r="AF35" s="114"/>
      <c r="AG35" s="114"/>
      <c r="AH35" s="114"/>
      <c r="AI35" s="114"/>
      <c r="AJ35" s="114"/>
      <c r="AK35" s="114"/>
      <c r="AL35" s="244"/>
      <c r="AM35" s="244"/>
      <c r="AN35" s="244"/>
      <c r="AO35" s="244"/>
      <c r="AP35" s="244"/>
      <c r="HX35" s="190"/>
      <c r="IF35" s="190"/>
    </row>
    <row r="36" spans="2:240" ht="21" customHeight="1" x14ac:dyDescent="0.55000000000000004">
      <c r="B36" s="214"/>
      <c r="C36" s="257"/>
      <c r="D36" s="237">
        <v>10</v>
      </c>
      <c r="E36" s="277">
        <f>Check_data!B36</f>
        <v>2</v>
      </c>
      <c r="F36" s="112"/>
      <c r="G36" s="277">
        <f>Check_data!C36</f>
        <v>0</v>
      </c>
      <c r="H36" s="113" t="str">
        <f t="shared" si="2"/>
        <v/>
      </c>
      <c r="I36" s="184" t="str">
        <f t="shared" si="0"/>
        <v/>
      </c>
      <c r="J36" s="185" t="str">
        <f t="shared" si="1"/>
        <v/>
      </c>
      <c r="K36" s="185" t="str">
        <f t="shared" si="3"/>
        <v/>
      </c>
      <c r="L36" s="277">
        <f>Check_data!D36</f>
        <v>0</v>
      </c>
      <c r="M36" s="186" t="str">
        <f t="shared" si="4"/>
        <v/>
      </c>
      <c r="N36" s="187" t="str">
        <f t="shared" si="10"/>
        <v/>
      </c>
      <c r="O36" s="277">
        <f>Check_data!E36</f>
        <v>0</v>
      </c>
      <c r="P36" s="186" t="str">
        <f t="shared" si="5"/>
        <v/>
      </c>
      <c r="Q36" s="189" t="str">
        <f t="shared" si="6"/>
        <v/>
      </c>
      <c r="R36" s="238" t="str">
        <f>IF(Check_data!B16=0,"",Check_data!B16)</f>
        <v>please fill in:  Target TID, [target dose rate]</v>
      </c>
      <c r="S36" s="213"/>
      <c r="T36" s="359"/>
      <c r="U36" s="358"/>
      <c r="AE36" s="114"/>
      <c r="AF36" s="114"/>
      <c r="AG36" s="114"/>
      <c r="AH36" s="114"/>
      <c r="AI36" s="114"/>
      <c r="AJ36" s="114"/>
      <c r="AK36" s="114"/>
      <c r="AL36" s="244"/>
      <c r="AM36" s="244"/>
      <c r="AN36" s="244"/>
      <c r="AO36" s="244"/>
      <c r="AP36" s="244"/>
      <c r="HX36" s="190"/>
      <c r="IF36" s="190"/>
    </row>
    <row r="37" spans="2:240" ht="21" customHeight="1" x14ac:dyDescent="0.55000000000000004">
      <c r="B37" s="214"/>
      <c r="C37" s="257"/>
      <c r="D37" s="237">
        <v>11</v>
      </c>
      <c r="E37" s="277">
        <f>Check_data!B37</f>
        <v>2</v>
      </c>
      <c r="F37" s="112"/>
      <c r="G37" s="277">
        <f>Check_data!C37</f>
        <v>0</v>
      </c>
      <c r="H37" s="113" t="str">
        <f t="shared" si="2"/>
        <v/>
      </c>
      <c r="I37" s="184" t="str">
        <f t="shared" si="0"/>
        <v/>
      </c>
      <c r="J37" s="185" t="str">
        <f t="shared" si="1"/>
        <v/>
      </c>
      <c r="K37" s="185" t="str">
        <f t="shared" si="3"/>
        <v/>
      </c>
      <c r="L37" s="277">
        <f>Check_data!D37</f>
        <v>0</v>
      </c>
      <c r="M37" s="186" t="str">
        <f t="shared" si="4"/>
        <v/>
      </c>
      <c r="N37" s="187" t="str">
        <f t="shared" si="10"/>
        <v/>
      </c>
      <c r="O37" s="277">
        <f>Check_data!E37</f>
        <v>0</v>
      </c>
      <c r="P37" s="186" t="str">
        <f t="shared" si="5"/>
        <v/>
      </c>
      <c r="Q37" s="189" t="str">
        <f t="shared" si="6"/>
        <v/>
      </c>
      <c r="R37" s="238" t="str">
        <f>IF(Check_data!B17=0,"",Check_data!B17)</f>
        <v>please fill in:  Target TID, [target dose rate]</v>
      </c>
      <c r="S37" s="213"/>
      <c r="T37" s="359"/>
      <c r="U37" s="358"/>
      <c r="AE37" s="114"/>
      <c r="AF37" s="114"/>
      <c r="AG37" s="114"/>
      <c r="AH37" s="114"/>
      <c r="AI37" s="114"/>
      <c r="AJ37" s="114"/>
      <c r="AK37" s="114"/>
      <c r="AL37" s="244"/>
      <c r="AM37" s="244"/>
      <c r="AN37" s="244"/>
      <c r="AO37" s="244"/>
      <c r="AP37" s="244"/>
      <c r="HX37" s="190"/>
      <c r="IF37" s="190"/>
    </row>
    <row r="38" spans="2:240" ht="21" customHeight="1" x14ac:dyDescent="0.55000000000000004">
      <c r="B38" s="214"/>
      <c r="C38" s="257"/>
      <c r="D38" s="237">
        <v>12</v>
      </c>
      <c r="E38" s="277">
        <f>Check_data!B38</f>
        <v>2</v>
      </c>
      <c r="F38" s="112"/>
      <c r="G38" s="277">
        <f>Check_data!C38</f>
        <v>0</v>
      </c>
      <c r="H38" s="113" t="str">
        <f t="shared" si="2"/>
        <v/>
      </c>
      <c r="I38" s="184" t="str">
        <f t="shared" si="0"/>
        <v/>
      </c>
      <c r="J38" s="185" t="str">
        <f t="shared" si="1"/>
        <v/>
      </c>
      <c r="K38" s="185" t="str">
        <f t="shared" si="3"/>
        <v/>
      </c>
      <c r="L38" s="277">
        <f>Check_data!D38</f>
        <v>0</v>
      </c>
      <c r="M38" s="186" t="str">
        <f t="shared" si="4"/>
        <v/>
      </c>
      <c r="N38" s="187" t="str">
        <f t="shared" si="10"/>
        <v/>
      </c>
      <c r="O38" s="277">
        <f>Check_data!E38</f>
        <v>0</v>
      </c>
      <c r="P38" s="186" t="str">
        <f t="shared" si="5"/>
        <v/>
      </c>
      <c r="Q38" s="189" t="str">
        <f t="shared" si="6"/>
        <v/>
      </c>
      <c r="R38" s="238" t="str">
        <f>IF(Check_data!B18=0,"",Check_data!B18)</f>
        <v>please fill in:  Target TID, [target dose rate]</v>
      </c>
      <c r="S38" s="213"/>
      <c r="T38" s="359"/>
      <c r="U38" s="358"/>
      <c r="AE38" s="114"/>
      <c r="AF38" s="114"/>
      <c r="AG38" s="114"/>
      <c r="AH38" s="114"/>
      <c r="AI38" s="114"/>
      <c r="AJ38" s="114"/>
      <c r="AK38" s="114"/>
      <c r="AL38" s="244"/>
      <c r="AM38" s="244"/>
      <c r="AN38" s="244"/>
      <c r="AO38" s="244"/>
      <c r="AP38" s="244"/>
      <c r="HX38" s="190"/>
      <c r="IF38" s="190"/>
    </row>
    <row r="39" spans="2:240" ht="12" customHeight="1" x14ac:dyDescent="0.55000000000000004">
      <c r="B39" s="214"/>
      <c r="C39" s="257"/>
      <c r="D39" s="278"/>
      <c r="E39" s="278"/>
      <c r="F39" s="279"/>
      <c r="G39" s="279"/>
      <c r="H39" s="257"/>
      <c r="I39" s="280"/>
      <c r="J39" s="281"/>
      <c r="K39" s="282"/>
      <c r="L39" s="283"/>
      <c r="M39" s="283"/>
      <c r="N39" s="284"/>
      <c r="O39" s="283"/>
      <c r="P39" s="283"/>
      <c r="Q39" s="284"/>
      <c r="R39" s="257"/>
      <c r="S39" s="213"/>
      <c r="T39" s="359"/>
      <c r="U39" s="358"/>
      <c r="AE39" s="114"/>
      <c r="AF39" s="114"/>
      <c r="AG39" s="114"/>
      <c r="AH39" s="114"/>
      <c r="AI39" s="114"/>
      <c r="AJ39" s="114"/>
      <c r="AK39" s="114"/>
      <c r="AL39" s="244"/>
      <c r="AM39" s="244"/>
      <c r="AN39" s="244"/>
      <c r="AO39" s="244"/>
      <c r="AP39" s="244"/>
      <c r="HX39" s="190"/>
      <c r="IF39" s="190"/>
    </row>
    <row r="40" spans="2:240" ht="12" customHeight="1" x14ac:dyDescent="0.55000000000000004">
      <c r="B40" s="214"/>
      <c r="C40" s="257"/>
      <c r="D40" s="278"/>
      <c r="E40" s="257"/>
      <c r="F40" s="291"/>
      <c r="G40" s="291"/>
      <c r="H40" s="291"/>
      <c r="I40" s="257"/>
      <c r="J40" s="263"/>
      <c r="K40" s="285" t="s">
        <v>22</v>
      </c>
      <c r="L40" s="286">
        <f>Check_data!H23</f>
        <v>0</v>
      </c>
      <c r="M40" s="287" t="str">
        <f t="shared" si="4"/>
        <v>Tue</v>
      </c>
      <c r="N40" s="288">
        <f>MAX(Q27:Q38)+$J$10/24</f>
        <v>46028.594907407409</v>
      </c>
      <c r="O40" s="289"/>
      <c r="P40" s="289"/>
      <c r="Q40" s="290"/>
      <c r="R40" s="290"/>
      <c r="S40" s="213"/>
      <c r="T40" s="359"/>
      <c r="U40" s="358"/>
      <c r="AE40" s="114"/>
      <c r="AF40" s="114"/>
      <c r="AG40" s="114"/>
      <c r="AH40" s="114"/>
      <c r="AI40" s="114"/>
      <c r="AJ40" s="114"/>
      <c r="AK40" s="114"/>
      <c r="AL40" s="244"/>
      <c r="AM40" s="244"/>
      <c r="AN40" s="244"/>
      <c r="AO40" s="244"/>
      <c r="AP40" s="244"/>
      <c r="HX40" s="190"/>
      <c r="IF40" s="190"/>
    </row>
    <row r="41" spans="2:240" ht="12" customHeight="1" thickBot="1" x14ac:dyDescent="0.6">
      <c r="B41" s="208"/>
      <c r="C41" s="245"/>
      <c r="D41" s="245"/>
      <c r="E41" s="245"/>
      <c r="F41" s="245"/>
      <c r="G41" s="245"/>
      <c r="H41" s="245"/>
      <c r="I41" s="245"/>
      <c r="J41" s="245"/>
      <c r="K41" s="246"/>
      <c r="L41" s="247"/>
      <c r="M41" s="247"/>
      <c r="N41" s="248"/>
      <c r="O41" s="249"/>
      <c r="P41" s="249"/>
      <c r="Q41" s="250"/>
      <c r="R41" s="245"/>
      <c r="S41" s="251"/>
      <c r="T41" s="359"/>
      <c r="U41" s="358"/>
      <c r="V41" s="255"/>
      <c r="AE41" s="114"/>
      <c r="AF41" s="114"/>
      <c r="AG41" s="114"/>
      <c r="AH41" s="114"/>
      <c r="AI41" s="114"/>
      <c r="AJ41" s="114"/>
      <c r="AK41" s="114"/>
      <c r="AL41" s="244"/>
      <c r="AM41" s="244"/>
      <c r="AN41" s="244"/>
      <c r="AO41" s="244"/>
      <c r="AP41" s="244"/>
      <c r="HX41" s="190"/>
      <c r="IF41" s="190"/>
    </row>
    <row r="42" spans="2:240" ht="12" customHeight="1" x14ac:dyDescent="0.55000000000000004">
      <c r="AE42" s="114"/>
      <c r="AF42" s="114"/>
      <c r="AG42" s="114"/>
      <c r="AH42" s="114"/>
      <c r="AI42" s="114"/>
      <c r="AJ42" s="114"/>
      <c r="AK42" s="114"/>
      <c r="AL42" s="244"/>
      <c r="AM42" s="244"/>
      <c r="AN42" s="244"/>
      <c r="AO42" s="244"/>
      <c r="AP42" s="244"/>
      <c r="HX42" s="190"/>
      <c r="IF42" s="190"/>
    </row>
    <row r="43" spans="2:240" ht="12" customHeight="1" x14ac:dyDescent="0.55000000000000004">
      <c r="AE43" s="114"/>
      <c r="AF43" s="114"/>
      <c r="AG43" s="114"/>
      <c r="AH43" s="114"/>
      <c r="AI43" s="114"/>
      <c r="AJ43" s="114"/>
      <c r="AK43" s="114"/>
      <c r="AL43" s="244"/>
      <c r="AM43" s="244"/>
      <c r="AN43" s="244"/>
      <c r="AO43" s="244"/>
      <c r="AP43" s="244"/>
      <c r="HX43" s="190"/>
      <c r="IF43" s="190"/>
    </row>
    <row r="44" spans="2:240" ht="12" customHeight="1" x14ac:dyDescent="0.55000000000000004">
      <c r="AE44" s="114"/>
      <c r="AF44" s="114"/>
      <c r="AG44" s="114"/>
      <c r="AH44" s="114"/>
      <c r="AI44" s="114"/>
      <c r="AJ44" s="114"/>
      <c r="AK44" s="114"/>
      <c r="AL44" s="244"/>
      <c r="AM44" s="244"/>
      <c r="AN44" s="244"/>
      <c r="AO44" s="244"/>
      <c r="AP44" s="244"/>
      <c r="HX44" s="190"/>
      <c r="IF44" s="190"/>
    </row>
    <row r="45" spans="2:240" ht="12" customHeight="1" x14ac:dyDescent="0.55000000000000004">
      <c r="AE45" s="114"/>
      <c r="AF45" s="114"/>
      <c r="AG45" s="114"/>
      <c r="AH45" s="114"/>
      <c r="AI45" s="114"/>
      <c r="AJ45" s="114"/>
      <c r="AK45" s="114"/>
      <c r="AL45" s="244"/>
      <c r="AM45" s="244"/>
      <c r="AN45" s="244"/>
      <c r="AO45" s="244"/>
      <c r="AP45" s="244"/>
      <c r="HX45" s="190"/>
      <c r="IF45" s="190"/>
    </row>
    <row r="46" spans="2:240" ht="12" customHeight="1" x14ac:dyDescent="0.55000000000000004">
      <c r="AE46" s="114"/>
      <c r="AF46" s="114"/>
      <c r="AG46" s="114"/>
      <c r="AH46" s="114"/>
      <c r="AI46" s="114"/>
      <c r="AJ46" s="114"/>
      <c r="AK46" s="114"/>
      <c r="AL46" s="244"/>
      <c r="AM46" s="244"/>
      <c r="AN46" s="244"/>
      <c r="AO46" s="244"/>
      <c r="AP46" s="244"/>
      <c r="HX46" s="190"/>
      <c r="IF46" s="190"/>
    </row>
    <row r="47" spans="2:240" ht="14.4" x14ac:dyDescent="0.55000000000000004">
      <c r="AE47" s="114"/>
      <c r="AF47" s="114"/>
      <c r="AG47" s="114"/>
      <c r="AH47" s="114"/>
      <c r="AI47" s="114"/>
      <c r="AJ47" s="114"/>
      <c r="AK47" s="114"/>
      <c r="AL47" s="244"/>
      <c r="AM47" s="244"/>
      <c r="AN47" s="244"/>
      <c r="AO47" s="244"/>
      <c r="AP47" s="244"/>
      <c r="HX47" s="190"/>
      <c r="IF47" s="190"/>
    </row>
    <row r="48" spans="2:240" ht="14.4" x14ac:dyDescent="0.55000000000000004">
      <c r="AE48" s="114"/>
      <c r="AF48" s="114"/>
      <c r="AG48" s="114"/>
      <c r="AH48" s="114"/>
      <c r="AI48" s="114"/>
      <c r="AJ48" s="114"/>
      <c r="AK48" s="114"/>
      <c r="AL48" s="244"/>
      <c r="AM48" s="244"/>
      <c r="AN48" s="244"/>
      <c r="AO48" s="244"/>
      <c r="AP48" s="244"/>
      <c r="HX48" s="190"/>
      <c r="IF48" s="190"/>
    </row>
    <row r="49" spans="19:240" ht="14.4" x14ac:dyDescent="0.55000000000000004">
      <c r="AE49" s="114"/>
      <c r="AF49" s="114"/>
      <c r="AG49" s="114"/>
      <c r="AH49" s="114"/>
      <c r="AI49" s="114"/>
      <c r="AJ49" s="114"/>
      <c r="AK49" s="114"/>
      <c r="AL49" s="244"/>
      <c r="AM49" s="244"/>
      <c r="AN49" s="244"/>
      <c r="AO49" s="244"/>
      <c r="AP49" s="244"/>
      <c r="HX49" s="190"/>
      <c r="IF49" s="190"/>
    </row>
    <row r="50" spans="19:240" ht="14.4" x14ac:dyDescent="0.55000000000000004">
      <c r="S50" s="252"/>
      <c r="T50" s="252"/>
      <c r="AE50" s="114"/>
      <c r="AF50" s="114"/>
      <c r="AG50" s="114"/>
      <c r="AH50" s="114"/>
      <c r="AI50" s="114"/>
      <c r="AJ50" s="114"/>
      <c r="AK50" s="114"/>
      <c r="AL50" s="244"/>
      <c r="AM50" s="244"/>
      <c r="AN50" s="244"/>
      <c r="AO50" s="244"/>
      <c r="AP50" s="244"/>
      <c r="HX50" s="190"/>
      <c r="IF50" s="190"/>
    </row>
    <row r="51" spans="19:240" ht="14.4" x14ac:dyDescent="0.55000000000000004">
      <c r="AE51" s="114"/>
      <c r="AF51" s="114"/>
      <c r="AG51" s="114"/>
      <c r="AH51" s="114"/>
      <c r="AI51" s="114"/>
      <c r="AJ51" s="114"/>
      <c r="AK51" s="114"/>
      <c r="AL51" s="244"/>
      <c r="AM51" s="244"/>
      <c r="AN51" s="244"/>
      <c r="AO51" s="244"/>
      <c r="AP51" s="244"/>
      <c r="HX51" s="190"/>
      <c r="IF51" s="190"/>
    </row>
    <row r="52" spans="19:240" ht="14.4" x14ac:dyDescent="0.55000000000000004">
      <c r="AE52" s="114"/>
      <c r="AF52" s="114"/>
      <c r="AG52" s="114"/>
      <c r="AH52" s="114"/>
      <c r="AI52" s="114"/>
      <c r="AJ52" s="114"/>
      <c r="AK52" s="114"/>
      <c r="AL52" s="244"/>
      <c r="AM52" s="244"/>
      <c r="AN52" s="244"/>
      <c r="AO52" s="244"/>
      <c r="AP52" s="244"/>
      <c r="HX52" s="190"/>
      <c r="IF52" s="190"/>
    </row>
    <row r="53" spans="19:240" ht="14.4" x14ac:dyDescent="0.55000000000000004">
      <c r="AE53" s="114"/>
      <c r="AF53" s="114"/>
      <c r="AG53" s="114"/>
      <c r="AH53" s="114"/>
      <c r="AI53" s="114"/>
      <c r="AJ53" s="114"/>
      <c r="AK53" s="114"/>
      <c r="AL53" s="244"/>
      <c r="AM53" s="244"/>
      <c r="AN53" s="244"/>
      <c r="AO53" s="244"/>
      <c r="AP53" s="244"/>
      <c r="HX53" s="190"/>
      <c r="IF53" s="190"/>
    </row>
    <row r="54" spans="19:240" ht="14.4" x14ac:dyDescent="0.55000000000000004">
      <c r="AE54" s="114"/>
      <c r="AF54" s="114"/>
      <c r="AG54" s="114"/>
      <c r="AH54" s="114"/>
      <c r="AI54" s="114"/>
      <c r="AJ54" s="114"/>
      <c r="AK54" s="114"/>
      <c r="AL54" s="244"/>
      <c r="AM54" s="244"/>
      <c r="AN54" s="244"/>
      <c r="AO54" s="244"/>
      <c r="AP54" s="244"/>
      <c r="HX54" s="190"/>
      <c r="IF54" s="190"/>
    </row>
    <row r="55" spans="19:240" ht="14.4" x14ac:dyDescent="0.55000000000000004">
      <c r="AE55" s="114"/>
      <c r="AF55" s="114"/>
      <c r="AG55" s="114"/>
      <c r="AH55" s="114"/>
      <c r="AI55" s="114"/>
      <c r="AJ55" s="114"/>
      <c r="AK55" s="114"/>
      <c r="AL55" s="244"/>
      <c r="AM55" s="244"/>
      <c r="AN55" s="244"/>
      <c r="AO55" s="244"/>
      <c r="AP55" s="244"/>
      <c r="HX55" s="190"/>
      <c r="IF55" s="190"/>
    </row>
    <row r="56" spans="19:240" ht="14.4" x14ac:dyDescent="0.55000000000000004">
      <c r="AE56" s="114"/>
      <c r="AF56" s="114"/>
      <c r="AG56" s="114"/>
      <c r="AH56" s="114"/>
      <c r="AI56" s="114"/>
      <c r="AJ56" s="114"/>
      <c r="AK56" s="114"/>
      <c r="AL56" s="244"/>
      <c r="AM56" s="244"/>
      <c r="AN56" s="244"/>
      <c r="AO56" s="244"/>
      <c r="AP56" s="244"/>
      <c r="HX56" s="190"/>
      <c r="IF56" s="190"/>
    </row>
    <row r="57" spans="19:240" ht="14.4" x14ac:dyDescent="0.55000000000000004">
      <c r="AE57" s="114"/>
      <c r="AF57" s="114"/>
      <c r="AG57" s="114"/>
      <c r="AH57" s="114"/>
      <c r="AI57" s="114"/>
      <c r="AJ57" s="114"/>
      <c r="AK57" s="114"/>
      <c r="AL57" s="244"/>
      <c r="AM57" s="244"/>
      <c r="AN57" s="244"/>
      <c r="AO57" s="244"/>
      <c r="AP57" s="244"/>
      <c r="HX57" s="190"/>
      <c r="IF57" s="190"/>
    </row>
    <row r="58" spans="19:240" ht="14.4" x14ac:dyDescent="0.55000000000000004">
      <c r="AE58" s="114"/>
      <c r="AF58" s="114"/>
      <c r="AG58" s="114"/>
      <c r="AH58" s="114"/>
      <c r="AI58" s="114"/>
      <c r="AJ58" s="114"/>
      <c r="AK58" s="114"/>
      <c r="AL58" s="244"/>
      <c r="AM58" s="244"/>
      <c r="AN58" s="244"/>
      <c r="AO58" s="244"/>
      <c r="AP58" s="244"/>
      <c r="HX58" s="190"/>
      <c r="IF58" s="190"/>
    </row>
    <row r="59" spans="19:240" ht="14.4" x14ac:dyDescent="0.55000000000000004">
      <c r="AE59" s="114"/>
      <c r="AF59" s="114"/>
      <c r="AG59" s="114"/>
      <c r="AH59" s="114"/>
      <c r="AI59" s="114"/>
      <c r="AJ59" s="114"/>
      <c r="AK59" s="114"/>
      <c r="AL59" s="244"/>
      <c r="AM59" s="244"/>
      <c r="AN59" s="244"/>
      <c r="AO59" s="244"/>
      <c r="AP59" s="244"/>
      <c r="HX59" s="190"/>
      <c r="IF59" s="190"/>
    </row>
    <row r="60" spans="19:240" ht="14.4" x14ac:dyDescent="0.55000000000000004">
      <c r="AE60" s="114"/>
      <c r="AF60" s="114"/>
      <c r="AG60" s="114"/>
      <c r="AH60" s="114"/>
      <c r="AI60" s="114"/>
      <c r="AJ60" s="114"/>
      <c r="AK60" s="114"/>
      <c r="AL60" s="244"/>
      <c r="AM60" s="244"/>
      <c r="AN60" s="244"/>
      <c r="AO60" s="244"/>
      <c r="AP60" s="244"/>
      <c r="HX60" s="190"/>
      <c r="IF60" s="190"/>
    </row>
    <row r="61" spans="19:240" ht="14.4" x14ac:dyDescent="0.55000000000000004">
      <c r="AE61" s="114"/>
      <c r="AF61" s="114"/>
      <c r="AG61" s="114"/>
      <c r="AH61" s="114"/>
      <c r="AI61" s="114"/>
      <c r="AJ61" s="114"/>
      <c r="AK61" s="114"/>
      <c r="AN61" s="244"/>
      <c r="HX61" s="190"/>
      <c r="IF61" s="190"/>
    </row>
    <row r="62" spans="19:240" ht="14.4" x14ac:dyDescent="0.55000000000000004">
      <c r="AE62" s="114"/>
      <c r="AF62" s="114"/>
      <c r="AG62" s="114"/>
      <c r="AH62" s="114"/>
      <c r="AI62" s="114"/>
      <c r="AJ62" s="114"/>
      <c r="AK62" s="114"/>
      <c r="AN62" s="244"/>
      <c r="IF62" s="190"/>
    </row>
    <row r="63" spans="19:240" ht="14.4" x14ac:dyDescent="0.55000000000000004">
      <c r="AE63" s="114"/>
      <c r="AF63" s="114"/>
      <c r="AG63" s="114"/>
      <c r="AH63" s="114"/>
      <c r="AI63" s="114"/>
      <c r="AJ63" s="114"/>
      <c r="AK63" s="114"/>
      <c r="AN63" s="244"/>
      <c r="IF63" s="190"/>
    </row>
    <row r="64" spans="19:240" ht="14.4" x14ac:dyDescent="0.55000000000000004">
      <c r="AE64" s="114"/>
      <c r="AF64" s="114"/>
      <c r="AG64" s="114"/>
      <c r="AH64" s="114"/>
      <c r="AI64" s="114"/>
      <c r="AJ64" s="114"/>
      <c r="AK64" s="114"/>
    </row>
    <row r="65" spans="31:37" ht="14.4" x14ac:dyDescent="0.55000000000000004">
      <c r="AE65" s="114"/>
      <c r="AF65" s="114"/>
      <c r="AG65" s="114"/>
      <c r="AH65" s="114"/>
      <c r="AI65" s="114"/>
      <c r="AJ65" s="114"/>
      <c r="AK65" s="114"/>
    </row>
    <row r="66" spans="31:37" ht="14.4" x14ac:dyDescent="0.55000000000000004">
      <c r="AE66" s="114"/>
      <c r="AF66" s="114"/>
      <c r="AG66" s="114"/>
      <c r="AH66" s="114"/>
      <c r="AI66" s="114"/>
      <c r="AJ66" s="114"/>
      <c r="AK66" s="114"/>
    </row>
    <row r="67" spans="31:37" ht="14.4" x14ac:dyDescent="0.55000000000000004">
      <c r="AE67" s="114"/>
      <c r="AF67" s="114"/>
      <c r="AG67" s="114"/>
      <c r="AH67" s="114"/>
      <c r="AI67" s="114"/>
      <c r="AJ67" s="114"/>
      <c r="AK67" s="114"/>
    </row>
    <row r="68" spans="31:37" ht="14.4" x14ac:dyDescent="0.55000000000000004">
      <c r="AE68" s="114"/>
      <c r="AF68" s="114"/>
      <c r="AG68" s="114"/>
      <c r="AH68" s="114"/>
      <c r="AI68" s="114"/>
      <c r="AJ68" s="114"/>
      <c r="AK68" s="114"/>
    </row>
    <row r="69" spans="31:37" ht="14.4" x14ac:dyDescent="0.55000000000000004">
      <c r="AE69" s="114"/>
      <c r="AF69" s="114"/>
      <c r="AG69" s="114"/>
      <c r="AH69" s="114"/>
      <c r="AI69" s="114"/>
      <c r="AJ69" s="114"/>
      <c r="AK69" s="114"/>
    </row>
    <row r="70" spans="31:37" ht="14.4" x14ac:dyDescent="0.55000000000000004">
      <c r="AE70" s="114"/>
      <c r="AF70" s="114"/>
      <c r="AG70" s="114"/>
      <c r="AH70" s="114"/>
      <c r="AI70" s="114"/>
      <c r="AJ70" s="114"/>
      <c r="AK70" s="114"/>
    </row>
    <row r="71" spans="31:37" ht="14.4" x14ac:dyDescent="0.55000000000000004">
      <c r="AE71" s="114"/>
      <c r="AF71" s="114"/>
      <c r="AG71" s="114"/>
      <c r="AH71" s="114"/>
      <c r="AI71" s="114"/>
      <c r="AJ71" s="114"/>
      <c r="AK71" s="114"/>
    </row>
    <row r="72" spans="31:37" ht="14.4" x14ac:dyDescent="0.55000000000000004">
      <c r="AE72" s="114"/>
      <c r="AF72" s="114"/>
      <c r="AG72" s="114"/>
      <c r="AH72" s="114"/>
      <c r="AI72" s="114"/>
      <c r="AJ72" s="114"/>
      <c r="AK72" s="114"/>
    </row>
    <row r="73" spans="31:37" ht="14.4" x14ac:dyDescent="0.55000000000000004">
      <c r="AE73" s="114"/>
      <c r="AF73" s="114"/>
      <c r="AG73" s="114"/>
      <c r="AH73" s="114"/>
      <c r="AI73" s="114"/>
      <c r="AJ73" s="114"/>
      <c r="AK73" s="114"/>
    </row>
    <row r="74" spans="31:37" ht="14.4" x14ac:dyDescent="0.55000000000000004">
      <c r="AE74" s="114"/>
      <c r="AF74" s="114"/>
      <c r="AG74" s="114"/>
      <c r="AH74" s="114"/>
      <c r="AI74" s="114"/>
      <c r="AJ74" s="114"/>
      <c r="AK74" s="114"/>
    </row>
    <row r="75" spans="31:37" ht="14.4" x14ac:dyDescent="0.55000000000000004">
      <c r="AE75" s="114"/>
      <c r="AF75" s="114"/>
      <c r="AG75" s="114"/>
      <c r="AH75" s="114"/>
      <c r="AI75" s="114"/>
      <c r="AJ75" s="114"/>
      <c r="AK75" s="114"/>
    </row>
    <row r="76" spans="31:37" ht="14.4" x14ac:dyDescent="0.55000000000000004">
      <c r="AE76" s="114"/>
      <c r="AF76" s="114"/>
      <c r="AG76" s="114"/>
      <c r="AH76" s="114"/>
      <c r="AI76" s="114"/>
      <c r="AJ76" s="114"/>
      <c r="AK76" s="114"/>
    </row>
    <row r="77" spans="31:37" ht="14.4" x14ac:dyDescent="0.55000000000000004">
      <c r="AE77" s="114"/>
      <c r="AF77" s="114"/>
      <c r="AG77" s="114"/>
      <c r="AH77" s="114"/>
      <c r="AI77" s="114"/>
      <c r="AJ77" s="114"/>
      <c r="AK77" s="114"/>
    </row>
    <row r="78" spans="31:37" ht="14.4" x14ac:dyDescent="0.55000000000000004">
      <c r="AE78" s="114"/>
      <c r="AF78" s="114"/>
      <c r="AG78" s="114"/>
      <c r="AH78" s="114"/>
      <c r="AI78" s="114"/>
      <c r="AJ78" s="114"/>
      <c r="AK78" s="114"/>
    </row>
    <row r="79" spans="31:37" ht="14.4" x14ac:dyDescent="0.55000000000000004">
      <c r="AE79" s="114"/>
      <c r="AF79" s="114"/>
      <c r="AG79" s="114"/>
      <c r="AH79" s="114"/>
      <c r="AI79" s="114"/>
      <c r="AJ79" s="114"/>
      <c r="AK79" s="114"/>
    </row>
    <row r="80" spans="31:37" ht="14.4" x14ac:dyDescent="0.55000000000000004">
      <c r="AE80" s="114"/>
      <c r="AF80" s="114"/>
      <c r="AG80" s="114"/>
      <c r="AH80" s="114"/>
      <c r="AI80" s="114"/>
      <c r="AJ80" s="114"/>
      <c r="AK80" s="114"/>
    </row>
    <row r="81" spans="31:37" ht="14.4" x14ac:dyDescent="0.55000000000000004">
      <c r="AE81" s="114"/>
      <c r="AF81" s="114"/>
      <c r="AG81" s="114"/>
      <c r="AH81" s="114"/>
      <c r="AI81" s="114"/>
      <c r="AJ81" s="114"/>
      <c r="AK81" s="114"/>
    </row>
    <row r="82" spans="31:37" ht="14.4" x14ac:dyDescent="0.55000000000000004">
      <c r="AE82" s="114"/>
      <c r="AF82" s="114"/>
      <c r="AG82" s="114"/>
      <c r="AH82" s="114"/>
      <c r="AI82" s="114"/>
      <c r="AJ82" s="114"/>
      <c r="AK82" s="114"/>
    </row>
    <row r="83" spans="31:37" ht="14.4" x14ac:dyDescent="0.55000000000000004">
      <c r="AE83" s="114"/>
      <c r="AF83" s="114"/>
      <c r="AG83" s="114"/>
      <c r="AH83" s="114"/>
      <c r="AI83" s="114"/>
      <c r="AJ83" s="114"/>
      <c r="AK83" s="114"/>
    </row>
    <row r="84" spans="31:37" ht="14.4" x14ac:dyDescent="0.55000000000000004">
      <c r="AE84" s="114"/>
      <c r="AF84" s="114"/>
      <c r="AG84" s="114"/>
      <c r="AH84" s="114"/>
      <c r="AI84" s="114"/>
      <c r="AJ84" s="114"/>
      <c r="AK84" s="114"/>
    </row>
    <row r="85" spans="31:37" ht="14.4" x14ac:dyDescent="0.55000000000000004">
      <c r="AE85" s="114"/>
      <c r="AF85" s="114"/>
      <c r="AG85" s="114"/>
      <c r="AH85" s="114"/>
      <c r="AI85" s="114"/>
      <c r="AJ85" s="114"/>
      <c r="AK85" s="114"/>
    </row>
    <row r="86" spans="31:37" ht="14.4" x14ac:dyDescent="0.55000000000000004">
      <c r="AE86" s="114"/>
      <c r="AF86" s="114"/>
      <c r="AG86" s="114"/>
      <c r="AH86" s="114"/>
      <c r="AI86" s="114"/>
      <c r="AJ86" s="114"/>
      <c r="AK86" s="114"/>
    </row>
    <row r="87" spans="31:37" ht="14.4" x14ac:dyDescent="0.55000000000000004">
      <c r="AE87" s="114"/>
      <c r="AF87" s="114"/>
      <c r="AG87" s="114"/>
      <c r="AH87" s="114"/>
      <c r="AI87" s="114"/>
      <c r="AJ87" s="114"/>
      <c r="AK87" s="114"/>
    </row>
    <row r="88" spans="31:37" ht="14.4" x14ac:dyDescent="0.55000000000000004">
      <c r="AE88" s="114"/>
      <c r="AF88" s="114"/>
      <c r="AG88" s="114"/>
      <c r="AH88" s="114"/>
      <c r="AI88" s="114"/>
      <c r="AJ88" s="114"/>
      <c r="AK88" s="114"/>
    </row>
    <row r="89" spans="31:37" ht="14.4" x14ac:dyDescent="0.55000000000000004">
      <c r="AE89" s="114"/>
      <c r="AF89" s="114"/>
      <c r="AG89" s="114"/>
      <c r="AH89" s="114"/>
      <c r="AI89" s="114"/>
      <c r="AJ89" s="114"/>
      <c r="AK89" s="114"/>
    </row>
    <row r="90" spans="31:37" ht="14.4" x14ac:dyDescent="0.55000000000000004">
      <c r="AE90" s="114"/>
      <c r="AF90" s="114"/>
      <c r="AG90" s="114"/>
      <c r="AH90" s="114"/>
      <c r="AI90" s="114"/>
      <c r="AJ90" s="114"/>
      <c r="AK90" s="114"/>
    </row>
    <row r="91" spans="31:37" ht="14.4" x14ac:dyDescent="0.55000000000000004">
      <c r="AE91" s="114"/>
      <c r="AF91" s="114"/>
      <c r="AG91" s="114"/>
      <c r="AH91" s="114"/>
      <c r="AI91" s="114"/>
      <c r="AJ91" s="114"/>
      <c r="AK91" s="114"/>
    </row>
    <row r="92" spans="31:37" ht="14.4" x14ac:dyDescent="0.55000000000000004">
      <c r="AE92" s="114"/>
      <c r="AF92" s="114"/>
      <c r="AG92" s="114"/>
      <c r="AH92" s="114"/>
      <c r="AI92" s="114"/>
      <c r="AJ92" s="114"/>
      <c r="AK92" s="114"/>
    </row>
    <row r="93" spans="31:37" ht="14.4" x14ac:dyDescent="0.55000000000000004">
      <c r="AE93" s="114"/>
      <c r="AF93" s="114"/>
      <c r="AG93" s="114"/>
      <c r="AH93" s="114"/>
      <c r="AI93" s="114"/>
      <c r="AJ93" s="114"/>
      <c r="AK93" s="114"/>
    </row>
    <row r="94" spans="31:37" ht="14.4" x14ac:dyDescent="0.55000000000000004">
      <c r="AE94" s="114"/>
      <c r="AF94" s="114"/>
      <c r="AG94" s="114"/>
      <c r="AH94" s="114"/>
      <c r="AI94" s="114"/>
      <c r="AJ94" s="114"/>
      <c r="AK94" s="114"/>
    </row>
    <row r="95" spans="31:37" ht="14.4" x14ac:dyDescent="0.55000000000000004">
      <c r="AE95" s="114"/>
      <c r="AF95" s="114"/>
      <c r="AG95" s="114"/>
      <c r="AH95" s="114"/>
      <c r="AI95" s="114"/>
      <c r="AJ95" s="114"/>
      <c r="AK95" s="114"/>
    </row>
    <row r="96" spans="31:37" ht="14.4" x14ac:dyDescent="0.55000000000000004">
      <c r="AE96" s="114"/>
      <c r="AF96" s="114"/>
      <c r="AG96" s="114"/>
      <c r="AH96" s="114"/>
      <c r="AI96" s="114"/>
      <c r="AJ96" s="114"/>
      <c r="AK96" s="114"/>
    </row>
    <row r="97" spans="31:37" ht="14.4" x14ac:dyDescent="0.55000000000000004">
      <c r="AE97" s="114"/>
      <c r="AF97" s="114"/>
      <c r="AG97" s="114"/>
      <c r="AH97" s="114"/>
      <c r="AI97" s="114"/>
      <c r="AJ97" s="114"/>
      <c r="AK97" s="114"/>
    </row>
    <row r="98" spans="31:37" ht="14.4" x14ac:dyDescent="0.55000000000000004">
      <c r="AE98" s="114"/>
      <c r="AF98" s="114"/>
      <c r="AG98" s="114"/>
      <c r="AH98" s="114"/>
      <c r="AI98" s="114"/>
      <c r="AJ98" s="114"/>
      <c r="AK98" s="114"/>
    </row>
    <row r="99" spans="31:37" ht="14.4" x14ac:dyDescent="0.55000000000000004">
      <c r="AE99" s="114"/>
      <c r="AF99" s="114"/>
      <c r="AG99" s="114"/>
      <c r="AH99" s="114"/>
      <c r="AI99" s="114"/>
      <c r="AJ99" s="114"/>
      <c r="AK99" s="114"/>
    </row>
    <row r="100" spans="31:37" ht="14.4" x14ac:dyDescent="0.55000000000000004">
      <c r="AE100" s="114"/>
      <c r="AF100" s="114"/>
      <c r="AG100" s="114"/>
      <c r="AH100" s="114"/>
      <c r="AI100" s="114"/>
      <c r="AJ100" s="114"/>
      <c r="AK100" s="114"/>
    </row>
    <row r="101" spans="31:37" ht="14.4" x14ac:dyDescent="0.55000000000000004">
      <c r="AE101" s="114"/>
      <c r="AF101" s="114"/>
      <c r="AG101" s="114"/>
      <c r="AH101" s="114"/>
      <c r="AI101" s="114"/>
      <c r="AJ101" s="114"/>
      <c r="AK101" s="114"/>
    </row>
    <row r="102" spans="31:37" ht="14.4" x14ac:dyDescent="0.55000000000000004">
      <c r="AE102" s="114"/>
      <c r="AF102" s="114"/>
      <c r="AG102" s="114"/>
      <c r="AH102" s="114"/>
      <c r="AI102" s="114"/>
      <c r="AJ102" s="114"/>
      <c r="AK102" s="114"/>
    </row>
    <row r="103" spans="31:37" ht="14.4" x14ac:dyDescent="0.55000000000000004">
      <c r="AE103" s="114"/>
      <c r="AF103" s="114"/>
      <c r="AG103" s="114"/>
      <c r="AH103" s="114"/>
      <c r="AI103" s="114"/>
      <c r="AJ103" s="114"/>
      <c r="AK103" s="114"/>
    </row>
    <row r="104" spans="31:37" ht="14.4" x14ac:dyDescent="0.55000000000000004">
      <c r="AE104" s="114"/>
      <c r="AF104" s="114"/>
      <c r="AG104" s="114"/>
      <c r="AH104" s="114"/>
      <c r="AI104" s="114"/>
      <c r="AJ104" s="114"/>
      <c r="AK104" s="114"/>
    </row>
    <row r="105" spans="31:37" ht="14.4" x14ac:dyDescent="0.55000000000000004">
      <c r="AE105" s="114"/>
      <c r="AF105" s="114"/>
      <c r="AG105" s="114"/>
      <c r="AH105" s="114"/>
      <c r="AI105" s="114"/>
      <c r="AJ105" s="114"/>
      <c r="AK105" s="114"/>
    </row>
    <row r="106" spans="31:37" ht="14.4" x14ac:dyDescent="0.55000000000000004">
      <c r="AE106" s="114"/>
      <c r="AF106" s="114"/>
      <c r="AG106" s="114"/>
      <c r="AH106" s="114"/>
      <c r="AI106" s="114"/>
      <c r="AJ106" s="114"/>
      <c r="AK106" s="114"/>
    </row>
    <row r="107" spans="31:37" ht="14.4" x14ac:dyDescent="0.55000000000000004">
      <c r="AE107" s="114"/>
      <c r="AF107" s="114"/>
      <c r="AG107" s="114"/>
      <c r="AH107" s="114"/>
      <c r="AI107" s="114"/>
      <c r="AJ107" s="114"/>
      <c r="AK107" s="114"/>
    </row>
    <row r="108" spans="31:37" ht="14.4" x14ac:dyDescent="0.55000000000000004">
      <c r="AE108" s="114"/>
      <c r="AF108" s="114"/>
      <c r="AG108" s="114"/>
      <c r="AH108" s="114"/>
      <c r="AI108" s="114"/>
      <c r="AJ108" s="114"/>
      <c r="AK108" s="114"/>
    </row>
    <row r="109" spans="31:37" ht="14.4" x14ac:dyDescent="0.55000000000000004">
      <c r="AE109" s="114"/>
      <c r="AF109" s="114"/>
      <c r="AG109" s="114"/>
      <c r="AH109" s="114"/>
      <c r="AI109" s="114"/>
      <c r="AJ109" s="114"/>
      <c r="AK109" s="114"/>
    </row>
    <row r="110" spans="31:37" ht="14.4" x14ac:dyDescent="0.55000000000000004">
      <c r="AE110" s="114"/>
      <c r="AF110" s="114"/>
      <c r="AG110" s="114"/>
      <c r="AH110" s="114"/>
      <c r="AI110" s="114"/>
      <c r="AJ110" s="114"/>
      <c r="AK110" s="114"/>
    </row>
    <row r="111" spans="31:37" ht="14.4" x14ac:dyDescent="0.55000000000000004">
      <c r="AE111" s="114"/>
      <c r="AF111" s="114"/>
      <c r="AG111" s="114"/>
      <c r="AH111" s="114"/>
      <c r="AI111" s="114"/>
      <c r="AJ111" s="114"/>
      <c r="AK111" s="114"/>
    </row>
    <row r="112" spans="31:37" ht="14.4" x14ac:dyDescent="0.55000000000000004">
      <c r="AE112" s="114"/>
      <c r="AF112" s="114"/>
      <c r="AG112" s="114"/>
      <c r="AH112" s="114"/>
      <c r="AI112" s="114"/>
      <c r="AJ112" s="114"/>
      <c r="AK112" s="114"/>
    </row>
    <row r="151" spans="11:17" x14ac:dyDescent="0.35">
      <c r="K151" s="253"/>
      <c r="L151" s="253"/>
      <c r="M151" s="253"/>
      <c r="N151" s="253"/>
      <c r="O151" s="253"/>
      <c r="P151" s="253"/>
      <c r="Q151" s="254"/>
    </row>
    <row r="152" spans="11:17" x14ac:dyDescent="0.35">
      <c r="K152" s="253"/>
      <c r="L152" s="253"/>
      <c r="M152" s="253"/>
      <c r="N152" s="253"/>
      <c r="O152" s="253"/>
      <c r="P152" s="253"/>
      <c r="Q152" s="254"/>
    </row>
    <row r="153" spans="11:17" x14ac:dyDescent="0.35">
      <c r="K153" s="253"/>
      <c r="L153" s="253"/>
      <c r="M153" s="253"/>
      <c r="N153" s="253"/>
      <c r="O153" s="253"/>
      <c r="P153" s="253"/>
      <c r="Q153" s="254"/>
    </row>
    <row r="154" spans="11:17" x14ac:dyDescent="0.35">
      <c r="K154" s="253"/>
      <c r="L154" s="253"/>
      <c r="M154" s="253"/>
      <c r="N154" s="253"/>
      <c r="O154" s="253"/>
      <c r="P154" s="253"/>
      <c r="Q154" s="254"/>
    </row>
    <row r="155" spans="11:17" x14ac:dyDescent="0.35">
      <c r="K155" s="253"/>
      <c r="L155" s="253"/>
      <c r="M155" s="253"/>
      <c r="N155" s="253"/>
      <c r="O155" s="253"/>
      <c r="P155" s="253"/>
      <c r="Q155" s="254"/>
    </row>
    <row r="156" spans="11:17" x14ac:dyDescent="0.35">
      <c r="K156" s="253"/>
      <c r="L156" s="253"/>
      <c r="M156" s="253"/>
      <c r="N156" s="253"/>
      <c r="O156" s="253"/>
      <c r="P156" s="253"/>
      <c r="Q156" s="254"/>
    </row>
    <row r="159" spans="11:17" x14ac:dyDescent="0.35">
      <c r="Q159" s="254"/>
    </row>
    <row r="160" spans="11:17" x14ac:dyDescent="0.35">
      <c r="Q160" s="254"/>
    </row>
    <row r="161" spans="17:17" x14ac:dyDescent="0.35">
      <c r="Q161" s="254"/>
    </row>
    <row r="162" spans="17:17" x14ac:dyDescent="0.35">
      <c r="Q162" s="254"/>
    </row>
  </sheetData>
  <sheetProtection algorithmName="SHA-512" hashValue="rt/DvnaAckKZkZQWcqtIkAFty17LBJFtio2fhfkDqNTdQrpx9OhauvlFq2uSlyVUk/Zjc2U6+/xh/HxaQa08uw==" saltValue="LIbqjZDb3HljQEpleoBRug==" spinCount="100000" sheet="1" objects="1" scenarios="1"/>
  <protectedRanges>
    <protectedRange sqref="H4:H5 H8 J10 F13 H16 F27:F38 H27:H38" name="Editable_Fields"/>
  </protectedRanges>
  <mergeCells count="16">
    <mergeCell ref="H4:I4"/>
    <mergeCell ref="H5:I5"/>
    <mergeCell ref="V2:AH2"/>
    <mergeCell ref="H8:I8"/>
    <mergeCell ref="J10:K10"/>
    <mergeCell ref="J8:K8"/>
    <mergeCell ref="J7:K7"/>
    <mergeCell ref="F40:H40"/>
    <mergeCell ref="N12:Q15"/>
    <mergeCell ref="M25:O25"/>
    <mergeCell ref="P25:Q25"/>
    <mergeCell ref="D22:R22"/>
    <mergeCell ref="R11:R14"/>
    <mergeCell ref="L24:Q24"/>
    <mergeCell ref="F13:G14"/>
    <mergeCell ref="T31:U41"/>
  </mergeCells>
  <phoneticPr fontId="9" type="noConversion"/>
  <conditionalFormatting sqref="E27:E38">
    <cfRule type="cellIs" dxfId="19" priority="1" operator="equal">
      <formula>2</formula>
    </cfRule>
    <cfRule type="cellIs" dxfId="18" priority="2" operator="equal">
      <formula>1</formula>
    </cfRule>
    <cfRule type="cellIs" dxfId="17" priority="3" operator="equal">
      <formula>0</formula>
    </cfRule>
  </conditionalFormatting>
  <conditionalFormatting sqref="G27:G38">
    <cfRule type="cellIs" dxfId="16" priority="4" operator="equal">
      <formula>2</formula>
    </cfRule>
    <cfRule type="cellIs" dxfId="15" priority="5" operator="equal">
      <formula>1</formula>
    </cfRule>
    <cfRule type="cellIs" dxfId="14" priority="6" operator="equal">
      <formula>0</formula>
    </cfRule>
  </conditionalFormatting>
  <conditionalFormatting sqref="L27:L38">
    <cfRule type="cellIs" dxfId="13" priority="7" operator="equal">
      <formula>2</formula>
    </cfRule>
    <cfRule type="cellIs" dxfId="12" priority="8" operator="equal">
      <formula>1</formula>
    </cfRule>
    <cfRule type="cellIs" dxfId="11" priority="9" operator="equal">
      <formula>0</formula>
    </cfRule>
  </conditionalFormatting>
  <conditionalFormatting sqref="L40">
    <cfRule type="cellIs" dxfId="10" priority="17" stopIfTrue="1" operator="equal">
      <formula>TRUE</formula>
    </cfRule>
  </conditionalFormatting>
  <conditionalFormatting sqref="L39:M39 O39:P41 L41:M41">
    <cfRule type="cellIs" dxfId="9" priority="20" stopIfTrue="1" operator="equal">
      <formula>TRUE</formula>
    </cfRule>
  </conditionalFormatting>
  <conditionalFormatting sqref="O27:O38">
    <cfRule type="cellIs" dxfId="8" priority="10" operator="equal">
      <formula>2</formula>
    </cfRule>
    <cfRule type="cellIs" dxfId="7" priority="11" operator="equal">
      <formula>1</formula>
    </cfRule>
    <cfRule type="cellIs" dxfId="6" priority="12" operator="equal">
      <formula>0</formula>
    </cfRule>
  </conditionalFormatting>
  <hyperlinks>
    <hyperlink ref="J20" r:id="rId1" xr:uid="{64C4510B-2E35-4005-95EE-5CA2127061E4}"/>
  </hyperlinks>
  <pageMargins left="0.55000000000000004" right="0.45" top="0.74803149606299213" bottom="0.74803149606299213" header="0.31496062992125984" footer="0.31496062992125984"/>
  <pageSetup paperSize="9" scale="72" orientation="landscape" r:id="rId2"/>
  <ignoredErrors>
    <ignoredError sqref="H27:H38" unlockedFormula="1"/>
  </ignoredError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A28"/>
  <sheetViews>
    <sheetView workbookViewId="0">
      <selection activeCell="AF4" sqref="AF4"/>
    </sheetView>
  </sheetViews>
  <sheetFormatPr defaultRowHeight="14.4" x14ac:dyDescent="0.55000000000000004"/>
  <cols>
    <col min="1" max="1" width="22" customWidth="1"/>
    <col min="6" max="7" width="10.68359375" bestFit="1" customWidth="1"/>
  </cols>
  <sheetData>
    <row r="1" spans="1:1" x14ac:dyDescent="0.55000000000000004">
      <c r="A1" s="2" t="s">
        <v>19</v>
      </c>
    </row>
    <row r="2" spans="1:1" x14ac:dyDescent="0.55000000000000004">
      <c r="A2" s="3">
        <v>46023</v>
      </c>
    </row>
    <row r="3" spans="1:1" x14ac:dyDescent="0.55000000000000004">
      <c r="A3" s="3">
        <v>46055</v>
      </c>
    </row>
    <row r="4" spans="1:1" x14ac:dyDescent="0.55000000000000004">
      <c r="A4" s="3">
        <v>46118</v>
      </c>
    </row>
    <row r="5" spans="1:1" x14ac:dyDescent="0.55000000000000004">
      <c r="A5" s="3">
        <v>46139</v>
      </c>
    </row>
    <row r="6" spans="1:1" x14ac:dyDescent="0.55000000000000004">
      <c r="A6" s="3">
        <v>46156</v>
      </c>
    </row>
    <row r="7" spans="1:1" x14ac:dyDescent="0.55000000000000004">
      <c r="A7" s="3">
        <v>46167</v>
      </c>
    </row>
    <row r="8" spans="1:1" x14ac:dyDescent="0.55000000000000004">
      <c r="A8" s="3">
        <v>46380</v>
      </c>
    </row>
    <row r="9" spans="1:1" x14ac:dyDescent="0.55000000000000004">
      <c r="A9" s="3">
        <v>46381</v>
      </c>
    </row>
    <row r="10" spans="1:1" x14ac:dyDescent="0.55000000000000004">
      <c r="A10" s="3">
        <v>46384</v>
      </c>
    </row>
    <row r="11" spans="1:1" x14ac:dyDescent="0.55000000000000004">
      <c r="A11" s="3">
        <v>46385</v>
      </c>
    </row>
    <row r="12" spans="1:1" x14ac:dyDescent="0.55000000000000004">
      <c r="A12" s="3">
        <v>46386</v>
      </c>
    </row>
    <row r="13" spans="1:1" x14ac:dyDescent="0.55000000000000004">
      <c r="A13" s="3">
        <v>46387</v>
      </c>
    </row>
    <row r="14" spans="1:1" x14ac:dyDescent="0.55000000000000004">
      <c r="A14" s="3"/>
    </row>
    <row r="15" spans="1:1" x14ac:dyDescent="0.55000000000000004">
      <c r="A15" s="3"/>
    </row>
    <row r="16" spans="1:1" x14ac:dyDescent="0.55000000000000004">
      <c r="A16" s="3"/>
    </row>
    <row r="17" spans="1:1" x14ac:dyDescent="0.55000000000000004">
      <c r="A17" s="3"/>
    </row>
    <row r="18" spans="1:1" x14ac:dyDescent="0.55000000000000004">
      <c r="A18" s="3"/>
    </row>
    <row r="19" spans="1:1" x14ac:dyDescent="0.55000000000000004">
      <c r="A19" s="3"/>
    </row>
    <row r="20" spans="1:1" x14ac:dyDescent="0.55000000000000004">
      <c r="A20" s="3"/>
    </row>
    <row r="21" spans="1:1" x14ac:dyDescent="0.55000000000000004">
      <c r="A21" s="3"/>
    </row>
    <row r="22" spans="1:1" x14ac:dyDescent="0.55000000000000004">
      <c r="A22" s="3"/>
    </row>
    <row r="23" spans="1:1" x14ac:dyDescent="0.55000000000000004">
      <c r="A23" s="3"/>
    </row>
    <row r="24" spans="1:1" x14ac:dyDescent="0.55000000000000004">
      <c r="A24" s="3"/>
    </row>
    <row r="25" spans="1:1" x14ac:dyDescent="0.55000000000000004">
      <c r="A25" s="3"/>
    </row>
    <row r="26" spans="1:1" x14ac:dyDescent="0.55000000000000004">
      <c r="A26" s="3"/>
    </row>
    <row r="27" spans="1:1" x14ac:dyDescent="0.55000000000000004">
      <c r="A27" s="3"/>
    </row>
    <row r="28" spans="1:1" x14ac:dyDescent="0.55000000000000004">
      <c r="A28" s="3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O10"/>
  <sheetViews>
    <sheetView workbookViewId="0">
      <selection activeCell="AF4" sqref="AF4"/>
    </sheetView>
  </sheetViews>
  <sheetFormatPr defaultRowHeight="14.4" x14ac:dyDescent="0.55000000000000004"/>
  <cols>
    <col min="1" max="1" width="2" bestFit="1" customWidth="1"/>
    <col min="2" max="2" width="15.578125" customWidth="1"/>
    <col min="3" max="3" width="2" customWidth="1"/>
    <col min="4" max="4" width="10.68359375" bestFit="1" customWidth="1"/>
    <col min="6" max="7" width="6.26171875" customWidth="1"/>
    <col min="8" max="8" width="16" bestFit="1" customWidth="1"/>
  </cols>
  <sheetData>
    <row r="1" spans="1:15" x14ac:dyDescent="0.55000000000000004">
      <c r="C1" s="21" t="s">
        <v>337</v>
      </c>
      <c r="D1" s="118">
        <v>40545</v>
      </c>
    </row>
    <row r="2" spans="1:15" x14ac:dyDescent="0.55000000000000004">
      <c r="D2" s="305" t="s">
        <v>336</v>
      </c>
      <c r="E2" s="305"/>
      <c r="F2" s="306" t="s">
        <v>335</v>
      </c>
      <c r="G2" s="305"/>
      <c r="H2" t="s">
        <v>338</v>
      </c>
    </row>
    <row r="3" spans="1:15" x14ac:dyDescent="0.55000000000000004">
      <c r="A3">
        <f>WEEKDAY(D1)</f>
        <v>1</v>
      </c>
      <c r="B3" t="s">
        <v>328</v>
      </c>
      <c r="C3">
        <f>A3</f>
        <v>1</v>
      </c>
      <c r="D3" s="122">
        <v>0</v>
      </c>
      <c r="E3" s="122">
        <v>0</v>
      </c>
      <c r="F3" s="131">
        <v>0</v>
      </c>
      <c r="G3" s="122">
        <v>0</v>
      </c>
      <c r="H3" s="114" t="b">
        <v>1</v>
      </c>
      <c r="J3" s="20"/>
      <c r="K3" s="20"/>
      <c r="L3" s="20"/>
      <c r="M3" s="20"/>
      <c r="N3" s="20"/>
      <c r="O3" s="20"/>
    </row>
    <row r="4" spans="1:15" x14ac:dyDescent="0.55000000000000004">
      <c r="A4">
        <f t="shared" ref="A4:A9" si="0">IF(A3=7,1,A3+1)</f>
        <v>2</v>
      </c>
      <c r="B4" t="s">
        <v>329</v>
      </c>
      <c r="C4">
        <f t="shared" ref="C4:C9" si="1">A4</f>
        <v>2</v>
      </c>
      <c r="D4" s="120">
        <v>0.35415509259259259</v>
      </c>
      <c r="E4" s="121">
        <v>0.39582175925925928</v>
      </c>
      <c r="F4" s="125">
        <v>0.75001157407407404</v>
      </c>
      <c r="G4" s="126">
        <v>0.81251157407407404</v>
      </c>
      <c r="H4" s="127" t="b">
        <v>0</v>
      </c>
      <c r="J4" s="20"/>
      <c r="K4" s="20"/>
      <c r="L4" s="20"/>
      <c r="M4" s="20"/>
      <c r="N4" s="20"/>
      <c r="O4" s="20"/>
    </row>
    <row r="5" spans="1:15" x14ac:dyDescent="0.55000000000000004">
      <c r="A5">
        <f t="shared" si="0"/>
        <v>3</v>
      </c>
      <c r="B5" t="s">
        <v>330</v>
      </c>
      <c r="C5">
        <f t="shared" si="1"/>
        <v>3</v>
      </c>
      <c r="D5" s="120">
        <v>0.35415509259259259</v>
      </c>
      <c r="E5" s="121">
        <v>0.39582175925925928</v>
      </c>
      <c r="F5" s="125">
        <v>0.75001157407407404</v>
      </c>
      <c r="G5" s="126">
        <v>0.81251157407407404</v>
      </c>
      <c r="H5" s="127" t="b">
        <v>0</v>
      </c>
      <c r="J5" s="20"/>
      <c r="K5" s="20"/>
      <c r="L5" s="20"/>
      <c r="M5" s="20"/>
      <c r="N5" s="20"/>
      <c r="O5" s="20"/>
    </row>
    <row r="6" spans="1:15" x14ac:dyDescent="0.55000000000000004">
      <c r="A6">
        <f t="shared" si="0"/>
        <v>4</v>
      </c>
      <c r="B6" t="s">
        <v>331</v>
      </c>
      <c r="C6">
        <f t="shared" si="1"/>
        <v>4</v>
      </c>
      <c r="D6" s="120">
        <v>0.35415509259259259</v>
      </c>
      <c r="E6" s="121">
        <v>0.39582175925925928</v>
      </c>
      <c r="F6" s="125">
        <v>0.75001157407407404</v>
      </c>
      <c r="G6" s="126">
        <v>0.81251157407407404</v>
      </c>
      <c r="H6" s="127" t="b">
        <v>0</v>
      </c>
      <c r="J6" s="20"/>
      <c r="K6" s="20"/>
      <c r="L6" s="20"/>
      <c r="M6" s="20"/>
      <c r="N6" s="20"/>
      <c r="O6" s="20"/>
    </row>
    <row r="7" spans="1:15" x14ac:dyDescent="0.55000000000000004">
      <c r="A7">
        <f t="shared" si="0"/>
        <v>5</v>
      </c>
      <c r="B7" t="s">
        <v>332</v>
      </c>
      <c r="C7">
        <f t="shared" si="1"/>
        <v>5</v>
      </c>
      <c r="D7" s="120">
        <v>0.35415509259259259</v>
      </c>
      <c r="E7" s="121">
        <v>0.39582175925925928</v>
      </c>
      <c r="F7" s="125">
        <v>0.75001157407407404</v>
      </c>
      <c r="G7" s="126">
        <v>0.81251157407407404</v>
      </c>
      <c r="H7" s="127" t="b">
        <v>0</v>
      </c>
      <c r="J7" s="20"/>
      <c r="K7" s="20"/>
      <c r="L7" s="20"/>
      <c r="M7" s="20"/>
      <c r="N7" s="20"/>
      <c r="O7" s="20"/>
    </row>
    <row r="8" spans="1:15" x14ac:dyDescent="0.55000000000000004">
      <c r="A8">
        <f t="shared" si="0"/>
        <v>6</v>
      </c>
      <c r="B8" t="s">
        <v>333</v>
      </c>
      <c r="C8">
        <f t="shared" si="1"/>
        <v>6</v>
      </c>
      <c r="D8" s="120">
        <v>0.35415509259259259</v>
      </c>
      <c r="E8" s="121">
        <v>0.39582175925925928</v>
      </c>
      <c r="F8" s="125">
        <v>0.75001157407407404</v>
      </c>
      <c r="G8" s="126">
        <v>0.81251157407407404</v>
      </c>
      <c r="H8" s="127" t="b">
        <v>0</v>
      </c>
      <c r="J8" s="20"/>
      <c r="K8" s="20"/>
      <c r="L8" s="20"/>
      <c r="M8" s="20"/>
      <c r="N8" s="20"/>
      <c r="O8" s="20"/>
    </row>
    <row r="9" spans="1:15" x14ac:dyDescent="0.55000000000000004">
      <c r="A9">
        <f t="shared" si="0"/>
        <v>7</v>
      </c>
      <c r="B9" t="s">
        <v>334</v>
      </c>
      <c r="C9">
        <f t="shared" si="1"/>
        <v>7</v>
      </c>
      <c r="D9" s="122">
        <v>0</v>
      </c>
      <c r="E9" s="122">
        <v>0</v>
      </c>
      <c r="F9" s="131">
        <v>0</v>
      </c>
      <c r="G9" s="122">
        <v>0</v>
      </c>
      <c r="H9" s="114" t="b">
        <v>1</v>
      </c>
      <c r="J9" s="20"/>
      <c r="K9" s="20"/>
      <c r="L9" s="20"/>
      <c r="M9" s="20"/>
      <c r="N9" s="20"/>
      <c r="O9" s="20"/>
    </row>
    <row r="10" spans="1:15" x14ac:dyDescent="0.55000000000000004">
      <c r="A10" s="119"/>
      <c r="B10" s="119"/>
      <c r="C10" s="119"/>
      <c r="D10" s="119"/>
      <c r="E10" s="119"/>
      <c r="F10" s="119"/>
      <c r="G10" s="119"/>
      <c r="H10" s="119"/>
    </row>
  </sheetData>
  <mergeCells count="2">
    <mergeCell ref="D2:E2"/>
    <mergeCell ref="F2:G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X380"/>
  <sheetViews>
    <sheetView zoomScale="130" zoomScaleNormal="130" workbookViewId="0">
      <selection activeCell="AF4" sqref="AF4"/>
    </sheetView>
  </sheetViews>
  <sheetFormatPr defaultColWidth="12" defaultRowHeight="14.4" x14ac:dyDescent="0.55000000000000004"/>
  <cols>
    <col min="3" max="3" width="20.15625" customWidth="1"/>
    <col min="4" max="4" width="13.68359375" customWidth="1"/>
    <col min="6" max="6" width="15.15625" customWidth="1"/>
    <col min="7" max="7" width="18.41796875" customWidth="1"/>
    <col min="13" max="13" width="21.83984375" bestFit="1" customWidth="1"/>
    <col min="15" max="21" width="9.15625"/>
    <col min="22" max="22" width="12.68359375" customWidth="1"/>
    <col min="23" max="28" width="9.15625"/>
  </cols>
  <sheetData>
    <row r="1" spans="1:24" ht="23.1" x14ac:dyDescent="0.55000000000000004">
      <c r="A1" s="27"/>
      <c r="B1" s="28" t="s">
        <v>291</v>
      </c>
      <c r="C1" s="29">
        <v>44450.5</v>
      </c>
      <c r="D1" s="30"/>
      <c r="E1" s="31"/>
      <c r="F1" s="28" t="s">
        <v>292</v>
      </c>
      <c r="G1" s="68">
        <f>G3*EXP(-LN(2)/(G8)*(C1-G2)*(24*3600))</f>
        <v>84.557899828278622</v>
      </c>
      <c r="H1" s="32" t="s">
        <v>293</v>
      </c>
      <c r="I1" s="33"/>
      <c r="J1" s="34"/>
      <c r="P1" s="7" t="s">
        <v>30</v>
      </c>
    </row>
    <row r="2" spans="1:24" x14ac:dyDescent="0.55000000000000004">
      <c r="A2" s="35"/>
      <c r="B2" s="36" t="s">
        <v>294</v>
      </c>
      <c r="C2" s="37">
        <f ca="1">NOW()</f>
        <v>46043.489520023148</v>
      </c>
      <c r="D2" s="30">
        <f ca="1">G3*EXP(-LN(2)/(G8)*(C2-G2)*(24*3600))</f>
        <v>47.651871342415653</v>
      </c>
      <c r="E2" s="38" t="s">
        <v>293</v>
      </c>
      <c r="F2" s="36" t="s">
        <v>295</v>
      </c>
      <c r="G2" s="37">
        <v>44355.5</v>
      </c>
      <c r="H2" s="39"/>
      <c r="I2" s="40"/>
      <c r="J2" s="41"/>
    </row>
    <row r="3" spans="1:24" x14ac:dyDescent="0.55000000000000004">
      <c r="A3" s="35"/>
      <c r="B3" s="36"/>
      <c r="C3" s="42"/>
      <c r="D3" s="30"/>
      <c r="E3" s="38"/>
      <c r="F3" s="36" t="s">
        <v>296</v>
      </c>
      <c r="G3" s="38">
        <v>87.5</v>
      </c>
      <c r="H3" s="43" t="s">
        <v>293</v>
      </c>
      <c r="I3" s="40"/>
      <c r="J3" s="41"/>
      <c r="P3" s="8" t="s">
        <v>31</v>
      </c>
    </row>
    <row r="4" spans="1:24" x14ac:dyDescent="0.55000000000000004">
      <c r="A4" s="35"/>
      <c r="B4" s="44"/>
      <c r="C4" s="309" t="s">
        <v>297</v>
      </c>
      <c r="D4" s="309"/>
      <c r="E4" s="38"/>
      <c r="F4" s="36"/>
      <c r="G4" s="38"/>
      <c r="H4" s="39"/>
      <c r="I4" s="40"/>
      <c r="J4" s="41"/>
      <c r="P4" s="9" t="s">
        <v>32</v>
      </c>
    </row>
    <row r="5" spans="1:24" x14ac:dyDescent="0.55000000000000004">
      <c r="A5" s="35"/>
      <c r="B5" s="45"/>
      <c r="C5" s="46"/>
      <c r="D5" s="46" t="s">
        <v>298</v>
      </c>
      <c r="E5" s="47">
        <v>0.85</v>
      </c>
      <c r="F5" s="39" t="s">
        <v>299</v>
      </c>
      <c r="G5" s="38"/>
      <c r="H5" s="39"/>
      <c r="I5" s="40"/>
      <c r="J5" s="41"/>
      <c r="P5" s="310" t="s">
        <v>33</v>
      </c>
      <c r="Q5" s="310"/>
      <c r="R5" s="10"/>
      <c r="S5" s="11" t="s">
        <v>34</v>
      </c>
      <c r="T5" s="12" t="s">
        <v>35</v>
      </c>
      <c r="U5" s="11" t="s">
        <v>36</v>
      </c>
      <c r="V5" s="11" t="s">
        <v>37</v>
      </c>
    </row>
    <row r="6" spans="1:24" ht="16.5" x14ac:dyDescent="0.55000000000000004">
      <c r="A6" s="35"/>
      <c r="B6" s="36"/>
      <c r="C6" s="45"/>
      <c r="D6" s="48"/>
      <c r="E6" s="38"/>
      <c r="F6" s="36"/>
      <c r="G6" s="38"/>
      <c r="H6" s="39"/>
      <c r="I6" s="40"/>
      <c r="J6" s="41"/>
      <c r="K6" s="21" t="s">
        <v>348</v>
      </c>
      <c r="L6">
        <f ca="1">ROUND((self_absorption_coefficient*Co60constant*D2)/((7.8)^2)*100*0.898,1)</f>
        <v>22.1</v>
      </c>
      <c r="M6">
        <v>780</v>
      </c>
      <c r="N6" t="s">
        <v>7</v>
      </c>
      <c r="P6" s="311"/>
      <c r="Q6" s="311"/>
      <c r="R6" s="13"/>
      <c r="S6" s="13"/>
      <c r="T6" s="13"/>
      <c r="U6" s="14" t="s">
        <v>38</v>
      </c>
      <c r="V6" s="14" t="s">
        <v>39</v>
      </c>
    </row>
    <row r="7" spans="1:24" x14ac:dyDescent="0.55000000000000004">
      <c r="A7" s="49"/>
      <c r="B7" s="50"/>
      <c r="C7" s="36" t="s">
        <v>300</v>
      </c>
      <c r="D7" s="36" t="s">
        <v>301</v>
      </c>
      <c r="E7" s="36" t="s">
        <v>302</v>
      </c>
      <c r="F7" s="36" t="s">
        <v>8</v>
      </c>
      <c r="G7" s="36" t="s">
        <v>9</v>
      </c>
      <c r="H7" s="50"/>
      <c r="I7" s="40"/>
      <c r="J7" s="41"/>
      <c r="K7" s="21" t="s">
        <v>347</v>
      </c>
      <c r="L7">
        <f ca="1">ROUND((self_absorption_coefficient*Co60constant*D2)/((0.4)^2)*100*0.898,0)</f>
        <v>8404</v>
      </c>
      <c r="M7">
        <v>40</v>
      </c>
      <c r="N7" t="s">
        <v>7</v>
      </c>
      <c r="P7" s="15"/>
      <c r="Q7" s="15"/>
      <c r="R7" s="15"/>
      <c r="S7" s="15"/>
      <c r="T7" s="15"/>
      <c r="U7" s="15"/>
      <c r="V7" s="15"/>
    </row>
    <row r="8" spans="1:24" x14ac:dyDescent="0.55000000000000004">
      <c r="A8" s="35"/>
      <c r="B8" s="36" t="s">
        <v>303</v>
      </c>
      <c r="C8" s="51">
        <v>5.2709999999999999</v>
      </c>
      <c r="D8" s="52">
        <v>1925.28</v>
      </c>
      <c r="E8" s="53">
        <f>+D8*24</f>
        <v>46206.720000000001</v>
      </c>
      <c r="F8" s="54">
        <f>+E8*60</f>
        <v>2772403.2</v>
      </c>
      <c r="G8" s="55">
        <f>+F8*60</f>
        <v>166344192</v>
      </c>
      <c r="H8" s="50"/>
      <c r="I8" s="40"/>
      <c r="J8" s="41"/>
    </row>
    <row r="9" spans="1:24" x14ac:dyDescent="0.55000000000000004">
      <c r="A9" s="56"/>
      <c r="B9" s="57"/>
      <c r="C9" s="57"/>
      <c r="D9" s="57"/>
      <c r="E9" s="57"/>
      <c r="F9" s="57"/>
      <c r="G9" s="57"/>
      <c r="H9" s="57"/>
      <c r="I9" s="40"/>
      <c r="J9" s="41"/>
      <c r="P9" s="16">
        <v>1</v>
      </c>
      <c r="Q9" s="10" t="s">
        <v>40</v>
      </c>
      <c r="R9" s="10"/>
      <c r="S9" s="10" t="s">
        <v>41</v>
      </c>
      <c r="T9" s="10">
        <v>0.99212</v>
      </c>
      <c r="U9" s="16">
        <v>19.2</v>
      </c>
      <c r="V9" s="17">
        <v>8.3750000000000003E-5</v>
      </c>
      <c r="X9">
        <f t="shared" ref="X9:X40" si="0">T9/T$101</f>
        <v>1.7873459681487354</v>
      </c>
    </row>
    <row r="10" spans="1:24" x14ac:dyDescent="0.55000000000000004">
      <c r="A10" s="56"/>
      <c r="B10" s="58" t="s">
        <v>304</v>
      </c>
      <c r="C10" s="59">
        <v>3.6969999999999998E-13</v>
      </c>
      <c r="D10" s="57" t="s">
        <v>305</v>
      </c>
      <c r="E10" s="57"/>
      <c r="F10" s="57"/>
      <c r="G10" s="57"/>
      <c r="H10" s="57"/>
      <c r="I10" s="40"/>
      <c r="J10" s="41"/>
      <c r="P10" s="16">
        <v>2</v>
      </c>
      <c r="Q10" s="10" t="s">
        <v>42</v>
      </c>
      <c r="R10" s="10"/>
      <c r="S10" s="10" t="s">
        <v>43</v>
      </c>
      <c r="T10" s="10">
        <v>0.49968000000000001</v>
      </c>
      <c r="U10" s="16">
        <v>41.8</v>
      </c>
      <c r="V10" s="17">
        <v>1.663E-4</v>
      </c>
      <c r="X10">
        <f t="shared" si="0"/>
        <v>0.9001945665489659</v>
      </c>
    </row>
    <row r="11" spans="1:24" x14ac:dyDescent="0.55000000000000004">
      <c r="A11" s="56"/>
      <c r="B11" s="60"/>
      <c r="C11" s="57">
        <f>+C10*100</f>
        <v>3.6969999999999996E-11</v>
      </c>
      <c r="D11" s="57" t="s">
        <v>306</v>
      </c>
      <c r="E11" s="57"/>
      <c r="F11" s="308" t="s">
        <v>307</v>
      </c>
      <c r="G11" s="308"/>
      <c r="H11" s="57"/>
      <c r="I11" s="40"/>
      <c r="J11" s="41"/>
      <c r="P11" s="16">
        <v>3</v>
      </c>
      <c r="Q11" s="10" t="s">
        <v>44</v>
      </c>
      <c r="R11" s="10"/>
      <c r="S11" s="10" t="s">
        <v>45</v>
      </c>
      <c r="T11" s="10">
        <v>0.43220999999999998</v>
      </c>
      <c r="U11" s="16">
        <v>40</v>
      </c>
      <c r="V11" s="17">
        <v>0.53400000000000003</v>
      </c>
      <c r="X11">
        <f t="shared" si="0"/>
        <v>0.77864451970887072</v>
      </c>
    </row>
    <row r="12" spans="1:24" x14ac:dyDescent="0.55000000000000004">
      <c r="A12" s="56"/>
      <c r="B12" s="57"/>
      <c r="C12" s="61">
        <f>+C11/60</f>
        <v>6.1616666666666665E-13</v>
      </c>
      <c r="D12" s="57" t="s">
        <v>308</v>
      </c>
      <c r="E12" s="57"/>
      <c r="F12" s="44" t="s">
        <v>309</v>
      </c>
      <c r="G12" s="57"/>
      <c r="H12" s="57"/>
      <c r="I12" s="40"/>
      <c r="J12" s="41"/>
      <c r="P12" s="16">
        <v>4</v>
      </c>
      <c r="Q12" s="10" t="s">
        <v>46</v>
      </c>
      <c r="R12" s="10"/>
      <c r="S12" s="10" t="s">
        <v>47</v>
      </c>
      <c r="T12" s="10">
        <v>0.44384000000000001</v>
      </c>
      <c r="U12" s="16">
        <v>63.7</v>
      </c>
      <c r="V12" s="17">
        <v>1.8480000000000001</v>
      </c>
      <c r="X12">
        <f t="shared" si="0"/>
        <v>0.79959645456510775</v>
      </c>
    </row>
    <row r="13" spans="1:24" x14ac:dyDescent="0.55000000000000004">
      <c r="A13" s="56"/>
      <c r="B13" s="57"/>
      <c r="C13" s="57">
        <f>(C12*3.7*10^10)</f>
        <v>2.2798166666666668E-2</v>
      </c>
      <c r="D13" s="57" t="s">
        <v>310</v>
      </c>
      <c r="E13" s="57"/>
      <c r="F13" s="39" t="s">
        <v>311</v>
      </c>
      <c r="G13" s="57"/>
      <c r="H13" s="57"/>
      <c r="I13" s="40"/>
      <c r="J13" s="41"/>
      <c r="P13" s="16">
        <v>5</v>
      </c>
      <c r="Q13" s="10" t="s">
        <v>48</v>
      </c>
      <c r="R13" s="10"/>
      <c r="S13" s="10" t="s">
        <v>49</v>
      </c>
      <c r="T13" s="10">
        <v>0.46245000000000003</v>
      </c>
      <c r="U13" s="16">
        <v>76</v>
      </c>
      <c r="V13" s="17">
        <v>2.37</v>
      </c>
      <c r="X13">
        <f t="shared" si="0"/>
        <v>0.83312315341932697</v>
      </c>
    </row>
    <row r="14" spans="1:24" ht="29.1" thickBot="1" x14ac:dyDescent="0.6">
      <c r="A14" s="62"/>
      <c r="B14" s="63"/>
      <c r="C14" s="65">
        <f>C10*1000000000000</f>
        <v>0.36969999999999997</v>
      </c>
      <c r="D14" s="64" t="s">
        <v>312</v>
      </c>
      <c r="E14" s="65"/>
      <c r="F14" s="65"/>
      <c r="G14" s="65"/>
      <c r="H14" s="64"/>
      <c r="I14" s="66"/>
      <c r="J14" s="67"/>
      <c r="P14" s="16">
        <v>6</v>
      </c>
      <c r="Q14" s="10" t="s">
        <v>50</v>
      </c>
      <c r="R14" s="10"/>
      <c r="S14" s="10" t="s">
        <v>51</v>
      </c>
      <c r="T14" s="10">
        <v>0.49953999999999998</v>
      </c>
      <c r="U14" s="16">
        <v>78</v>
      </c>
      <c r="V14" s="17">
        <v>1.7</v>
      </c>
      <c r="X14">
        <f t="shared" si="0"/>
        <v>0.89994235065215822</v>
      </c>
    </row>
    <row r="15" spans="1:24" x14ac:dyDescent="0.55000000000000004">
      <c r="P15" s="16">
        <v>7</v>
      </c>
      <c r="Q15" s="10" t="s">
        <v>52</v>
      </c>
      <c r="R15" s="10"/>
      <c r="S15" s="10" t="s">
        <v>53</v>
      </c>
      <c r="T15" s="10">
        <v>0.49975999999999998</v>
      </c>
      <c r="U15" s="16">
        <v>82</v>
      </c>
      <c r="V15" s="17">
        <v>1.165E-3</v>
      </c>
      <c r="X15">
        <f t="shared" si="0"/>
        <v>0.90033868991857025</v>
      </c>
    </row>
    <row r="16" spans="1:24" x14ac:dyDescent="0.55000000000000004">
      <c r="P16" s="16">
        <v>8</v>
      </c>
      <c r="Q16" s="10" t="s">
        <v>54</v>
      </c>
      <c r="R16" s="10"/>
      <c r="S16" s="10" t="s">
        <v>55</v>
      </c>
      <c r="T16" s="10">
        <v>0.50002000000000002</v>
      </c>
      <c r="U16" s="16">
        <v>95</v>
      </c>
      <c r="V16" s="17">
        <v>1.3320000000000001E-3</v>
      </c>
      <c r="X16">
        <f t="shared" si="0"/>
        <v>0.9008070908697845</v>
      </c>
    </row>
    <row r="17" spans="1:24" x14ac:dyDescent="0.55000000000000004">
      <c r="P17" s="16">
        <v>9</v>
      </c>
      <c r="Q17" s="10" t="s">
        <v>56</v>
      </c>
      <c r="R17" s="10"/>
      <c r="S17" s="10" t="s">
        <v>57</v>
      </c>
      <c r="T17" s="10">
        <v>0.47371999999999997</v>
      </c>
      <c r="U17" s="10">
        <v>115</v>
      </c>
      <c r="V17" s="17">
        <v>1.58E-3</v>
      </c>
      <c r="X17">
        <f t="shared" si="0"/>
        <v>0.85342653311234407</v>
      </c>
    </row>
    <row r="18" spans="1:24" x14ac:dyDescent="0.55000000000000004">
      <c r="P18" s="10">
        <v>10</v>
      </c>
      <c r="Q18" s="10" t="s">
        <v>58</v>
      </c>
      <c r="R18" s="10"/>
      <c r="S18" s="10" t="s">
        <v>59</v>
      </c>
      <c r="T18" s="10">
        <v>0.49554999999999999</v>
      </c>
      <c r="U18" s="10">
        <v>137</v>
      </c>
      <c r="V18" s="17">
        <v>8.3850000000000005E-4</v>
      </c>
      <c r="X18">
        <f t="shared" si="0"/>
        <v>0.89275419759313968</v>
      </c>
    </row>
    <row r="19" spans="1:24" x14ac:dyDescent="0.55000000000000004">
      <c r="P19" s="10">
        <v>11</v>
      </c>
      <c r="Q19" s="10" t="s">
        <v>60</v>
      </c>
      <c r="R19" s="10"/>
      <c r="S19" s="10" t="s">
        <v>61</v>
      </c>
      <c r="T19" s="10">
        <v>0.47847000000000001</v>
      </c>
      <c r="U19" s="10">
        <v>149</v>
      </c>
      <c r="V19" s="17">
        <v>0.97099999999999997</v>
      </c>
      <c r="X19">
        <f t="shared" si="0"/>
        <v>0.86198385818260426</v>
      </c>
    </row>
    <row r="20" spans="1:24" ht="28.8" x14ac:dyDescent="0.55000000000000004">
      <c r="P20" s="10">
        <v>12</v>
      </c>
      <c r="Q20" s="10" t="s">
        <v>62</v>
      </c>
      <c r="R20" s="10"/>
      <c r="S20" s="10" t="s">
        <v>63</v>
      </c>
      <c r="T20" s="10">
        <v>0.49373</v>
      </c>
      <c r="U20" s="10">
        <v>156</v>
      </c>
      <c r="V20" s="17">
        <v>1.74</v>
      </c>
      <c r="X20">
        <f t="shared" si="0"/>
        <v>0.88947539093464001</v>
      </c>
    </row>
    <row r="21" spans="1:24" ht="14.7" thickBot="1" x14ac:dyDescent="0.6">
      <c r="A21" t="s">
        <v>315</v>
      </c>
      <c r="P21" s="10">
        <v>13</v>
      </c>
      <c r="Q21" s="10" t="s">
        <v>64</v>
      </c>
      <c r="R21" s="10"/>
      <c r="S21" s="10" t="s">
        <v>65</v>
      </c>
      <c r="T21" s="10">
        <v>0.48181000000000002</v>
      </c>
      <c r="U21" s="10">
        <v>166</v>
      </c>
      <c r="V21" s="17">
        <v>2.6989999999999998</v>
      </c>
      <c r="X21">
        <f t="shared" si="0"/>
        <v>0.86800100886358722</v>
      </c>
    </row>
    <row r="22" spans="1:24" x14ac:dyDescent="0.55000000000000004">
      <c r="A22" s="69"/>
      <c r="B22" s="70" t="s">
        <v>291</v>
      </c>
      <c r="C22" s="71">
        <v>42511.5</v>
      </c>
      <c r="D22" s="72"/>
      <c r="E22" s="73"/>
      <c r="F22" s="70" t="s">
        <v>292</v>
      </c>
      <c r="G22" s="74">
        <f>G24*EXP(-LN(2)/(G29)*(C22-G23)*(24*3600))</f>
        <v>82.069091620745297</v>
      </c>
      <c r="H22" s="75" t="s">
        <v>293</v>
      </c>
      <c r="I22" s="76"/>
      <c r="J22" s="77"/>
      <c r="P22" s="18">
        <v>14</v>
      </c>
      <c r="Q22" s="18" t="s">
        <v>66</v>
      </c>
      <c r="R22" s="18"/>
      <c r="S22" s="18" t="s">
        <v>67</v>
      </c>
      <c r="T22" s="18">
        <v>0.49847999999999998</v>
      </c>
      <c r="U22" s="18">
        <v>173</v>
      </c>
      <c r="V22" s="19">
        <v>2.33</v>
      </c>
      <c r="X22">
        <f t="shared" si="0"/>
        <v>0.89803271600490009</v>
      </c>
    </row>
    <row r="23" spans="1:24" ht="28.8" x14ac:dyDescent="0.55000000000000004">
      <c r="A23" s="78"/>
      <c r="B23" s="79" t="s">
        <v>294</v>
      </c>
      <c r="C23" s="80">
        <f ca="1">NOW()</f>
        <v>46043.489520023148</v>
      </c>
      <c r="D23" s="72">
        <f ca="1">G24*EXP(-LN(2)/(G29)*(C23-G23)*(24*3600))</f>
        <v>23.010719196013898</v>
      </c>
      <c r="E23" s="81" t="s">
        <v>293</v>
      </c>
      <c r="F23" s="79" t="s">
        <v>295</v>
      </c>
      <c r="G23" s="80">
        <v>42459.5</v>
      </c>
      <c r="H23" s="82"/>
      <c r="I23" s="83"/>
      <c r="J23" s="84"/>
      <c r="P23" s="10">
        <v>15</v>
      </c>
      <c r="Q23" s="10" t="s">
        <v>68</v>
      </c>
      <c r="R23" s="10"/>
      <c r="S23" s="10" t="s">
        <v>69</v>
      </c>
      <c r="T23" s="10">
        <v>0.48427999999999999</v>
      </c>
      <c r="U23" s="10">
        <v>173</v>
      </c>
      <c r="V23" s="17">
        <v>2.2000000000000002</v>
      </c>
      <c r="X23">
        <f t="shared" si="0"/>
        <v>0.87245081790012247</v>
      </c>
    </row>
    <row r="24" spans="1:24" x14ac:dyDescent="0.55000000000000004">
      <c r="A24" s="78"/>
      <c r="B24" s="79"/>
      <c r="C24" s="85"/>
      <c r="D24" s="72"/>
      <c r="E24" s="81"/>
      <c r="F24" s="79" t="s">
        <v>296</v>
      </c>
      <c r="G24" s="81">
        <v>83.62</v>
      </c>
      <c r="H24" s="86" t="s">
        <v>293</v>
      </c>
      <c r="I24" s="83"/>
      <c r="J24" s="84"/>
      <c r="P24" s="10">
        <v>16</v>
      </c>
      <c r="Q24" s="10" t="s">
        <v>70</v>
      </c>
      <c r="R24" s="10"/>
      <c r="S24" s="10" t="s">
        <v>71</v>
      </c>
      <c r="T24" s="10">
        <v>0.49897000000000002</v>
      </c>
      <c r="U24" s="10">
        <v>180</v>
      </c>
      <c r="V24" s="17">
        <v>2</v>
      </c>
      <c r="X24">
        <f t="shared" si="0"/>
        <v>0.89891547164372709</v>
      </c>
    </row>
    <row r="25" spans="1:24" x14ac:dyDescent="0.55000000000000004">
      <c r="A25" s="78"/>
      <c r="B25" s="87"/>
      <c r="C25" s="312" t="s">
        <v>297</v>
      </c>
      <c r="D25" s="312"/>
      <c r="E25" s="81"/>
      <c r="F25" s="79"/>
      <c r="G25" s="81"/>
      <c r="H25" s="82"/>
      <c r="I25" s="83"/>
      <c r="J25" s="84"/>
      <c r="P25" s="10">
        <v>17</v>
      </c>
      <c r="Q25" s="10" t="s">
        <v>72</v>
      </c>
      <c r="R25" s="10"/>
      <c r="S25" s="10" t="s">
        <v>73</v>
      </c>
      <c r="T25" s="10">
        <v>0.47950999999999999</v>
      </c>
      <c r="U25" s="10">
        <v>174</v>
      </c>
      <c r="V25" s="17">
        <v>2.9949999999999998E-3</v>
      </c>
      <c r="X25">
        <f t="shared" si="0"/>
        <v>0.86385746198746127</v>
      </c>
    </row>
    <row r="26" spans="1:24" x14ac:dyDescent="0.55000000000000004">
      <c r="A26" s="78"/>
      <c r="B26" s="88"/>
      <c r="C26" s="89"/>
      <c r="D26" s="89" t="s">
        <v>298</v>
      </c>
      <c r="E26" s="90">
        <v>0.83499999999999996</v>
      </c>
      <c r="F26" s="82" t="s">
        <v>316</v>
      </c>
      <c r="G26" s="81"/>
      <c r="H26" s="82"/>
      <c r="I26" s="83"/>
      <c r="J26" s="84"/>
      <c r="P26" s="10">
        <v>18</v>
      </c>
      <c r="Q26" s="10" t="s">
        <v>74</v>
      </c>
      <c r="R26" s="10"/>
      <c r="S26" s="10" t="s">
        <v>75</v>
      </c>
      <c r="T26" s="10">
        <v>0.45058999999999999</v>
      </c>
      <c r="U26" s="10">
        <v>188</v>
      </c>
      <c r="V26" s="17">
        <v>1.6620000000000001E-3</v>
      </c>
      <c r="X26">
        <f t="shared" si="0"/>
        <v>0.81175686387547741</v>
      </c>
    </row>
    <row r="27" spans="1:24" x14ac:dyDescent="0.55000000000000004">
      <c r="A27" s="78"/>
      <c r="B27" s="79"/>
      <c r="C27" s="88"/>
      <c r="D27" s="91"/>
      <c r="E27" s="81"/>
      <c r="F27" s="79"/>
      <c r="G27" s="81"/>
      <c r="H27" s="82"/>
      <c r="I27" s="83"/>
      <c r="J27" s="84"/>
      <c r="P27" s="10">
        <v>19</v>
      </c>
      <c r="Q27" s="10" t="s">
        <v>76</v>
      </c>
      <c r="R27" s="10"/>
      <c r="S27" s="10" t="s">
        <v>77</v>
      </c>
      <c r="T27" s="10">
        <v>0.48594999999999999</v>
      </c>
      <c r="U27" s="10">
        <v>190</v>
      </c>
      <c r="V27" s="17">
        <v>0.86199999999999999</v>
      </c>
      <c r="X27">
        <f t="shared" si="0"/>
        <v>0.87545939324061395</v>
      </c>
    </row>
    <row r="28" spans="1:24" x14ac:dyDescent="0.55000000000000004">
      <c r="A28" s="92"/>
      <c r="B28" s="93"/>
      <c r="C28" s="79" t="s">
        <v>300</v>
      </c>
      <c r="D28" s="79" t="s">
        <v>301</v>
      </c>
      <c r="E28" s="79" t="s">
        <v>302</v>
      </c>
      <c r="F28" s="79" t="s">
        <v>8</v>
      </c>
      <c r="G28" s="79" t="s">
        <v>9</v>
      </c>
      <c r="H28" s="93"/>
      <c r="I28" s="83"/>
      <c r="J28" s="84"/>
      <c r="P28" s="10">
        <v>20</v>
      </c>
      <c r="Q28" s="10" t="s">
        <v>78</v>
      </c>
      <c r="R28" s="10"/>
      <c r="S28" s="10" t="s">
        <v>79</v>
      </c>
      <c r="T28" s="10">
        <v>0.49902999999999997</v>
      </c>
      <c r="U28" s="10">
        <v>191</v>
      </c>
      <c r="V28" s="17">
        <v>1.55</v>
      </c>
      <c r="X28">
        <f t="shared" si="0"/>
        <v>0.89902356417093021</v>
      </c>
    </row>
    <row r="29" spans="1:24" x14ac:dyDescent="0.55000000000000004">
      <c r="A29" s="78"/>
      <c r="B29" s="79" t="s">
        <v>303</v>
      </c>
      <c r="C29" s="94">
        <v>5.2709999999999999</v>
      </c>
      <c r="D29" s="95">
        <v>1925.28</v>
      </c>
      <c r="E29" s="96">
        <f>+D29*24</f>
        <v>46206.720000000001</v>
      </c>
      <c r="F29" s="97">
        <f>+E29*60</f>
        <v>2772403.2</v>
      </c>
      <c r="G29" s="98">
        <f>+F29*60</f>
        <v>166344192</v>
      </c>
      <c r="H29" s="93"/>
      <c r="I29" s="83"/>
      <c r="J29" s="84"/>
      <c r="P29" s="10">
        <v>21</v>
      </c>
      <c r="Q29" s="10" t="s">
        <v>80</v>
      </c>
      <c r="R29" s="10"/>
      <c r="S29" s="10" t="s">
        <v>81</v>
      </c>
      <c r="T29" s="10">
        <v>0.46711999999999998</v>
      </c>
      <c r="U29" s="10">
        <v>216</v>
      </c>
      <c r="V29" s="17">
        <v>2.9889999999999999</v>
      </c>
      <c r="X29">
        <f t="shared" si="0"/>
        <v>0.84153635511998259</v>
      </c>
    </row>
    <row r="30" spans="1:24" x14ac:dyDescent="0.55000000000000004">
      <c r="A30" s="99"/>
      <c r="B30" s="100"/>
      <c r="C30" s="100"/>
      <c r="D30" s="100"/>
      <c r="E30" s="100"/>
      <c r="F30" s="100"/>
      <c r="G30" s="100"/>
      <c r="H30" s="100"/>
      <c r="I30" s="83"/>
      <c r="J30" s="84"/>
      <c r="P30" s="10">
        <v>22</v>
      </c>
      <c r="Q30" s="10" t="s">
        <v>82</v>
      </c>
      <c r="R30" s="10"/>
      <c r="S30" s="10" t="s">
        <v>83</v>
      </c>
      <c r="T30" s="10">
        <v>0.45948</v>
      </c>
      <c r="U30" s="10">
        <v>233</v>
      </c>
      <c r="V30" s="17">
        <v>4.54</v>
      </c>
      <c r="X30">
        <f t="shared" si="0"/>
        <v>0.82777257332276422</v>
      </c>
    </row>
    <row r="31" spans="1:24" x14ac:dyDescent="0.55000000000000004">
      <c r="A31" s="99"/>
      <c r="B31" s="101" t="s">
        <v>304</v>
      </c>
      <c r="C31" s="102">
        <v>3.6969999999999998E-13</v>
      </c>
      <c r="D31" s="100" t="s">
        <v>305</v>
      </c>
      <c r="E31" s="100"/>
      <c r="F31" s="100"/>
      <c r="G31" s="100"/>
      <c r="H31" s="100"/>
      <c r="I31" s="83"/>
      <c r="J31" s="84"/>
      <c r="P31" s="10">
        <v>23</v>
      </c>
      <c r="Q31" s="10" t="s">
        <v>84</v>
      </c>
      <c r="R31" s="10"/>
      <c r="S31" s="10" t="s">
        <v>85</v>
      </c>
      <c r="T31" s="10">
        <v>0.45150000000000001</v>
      </c>
      <c r="U31" s="10">
        <v>245</v>
      </c>
      <c r="V31" s="17">
        <v>6.11</v>
      </c>
      <c r="X31">
        <f t="shared" si="0"/>
        <v>0.81339626720472724</v>
      </c>
    </row>
    <row r="32" spans="1:24" x14ac:dyDescent="0.55000000000000004">
      <c r="A32" s="99"/>
      <c r="B32" s="103"/>
      <c r="C32" s="100">
        <f>+C31*100</f>
        <v>3.6969999999999996E-11</v>
      </c>
      <c r="D32" s="100" t="s">
        <v>306</v>
      </c>
      <c r="E32" s="100"/>
      <c r="F32" s="307" t="s">
        <v>307</v>
      </c>
      <c r="G32" s="307"/>
      <c r="H32" s="100"/>
      <c r="I32" s="83"/>
      <c r="J32" s="84"/>
      <c r="P32" s="10">
        <v>24</v>
      </c>
      <c r="Q32" s="10" t="s">
        <v>86</v>
      </c>
      <c r="R32" s="10"/>
      <c r="S32" s="10" t="s">
        <v>87</v>
      </c>
      <c r="T32" s="10">
        <v>0.46156999999999998</v>
      </c>
      <c r="U32" s="10">
        <v>257</v>
      </c>
      <c r="V32" s="17">
        <v>7.18</v>
      </c>
      <c r="X32">
        <f t="shared" si="0"/>
        <v>0.83153779635367864</v>
      </c>
    </row>
    <row r="33" spans="1:24" ht="28.8" x14ac:dyDescent="0.55000000000000004">
      <c r="A33" s="99"/>
      <c r="B33" s="100"/>
      <c r="C33" s="104">
        <f>+C32/60</f>
        <v>6.1616666666666665E-13</v>
      </c>
      <c r="D33" s="100" t="s">
        <v>308</v>
      </c>
      <c r="E33" s="100"/>
      <c r="F33" s="87" t="s">
        <v>309</v>
      </c>
      <c r="G33" s="100"/>
      <c r="H33" s="100"/>
      <c r="I33" s="83"/>
      <c r="J33" s="84"/>
      <c r="P33" s="10">
        <v>25</v>
      </c>
      <c r="Q33" s="10" t="s">
        <v>88</v>
      </c>
      <c r="R33" s="10"/>
      <c r="S33" s="10" t="s">
        <v>89</v>
      </c>
      <c r="T33" s="10">
        <v>0.45506000000000002</v>
      </c>
      <c r="U33" s="10">
        <v>272</v>
      </c>
      <c r="V33" s="17">
        <v>7.44</v>
      </c>
      <c r="X33">
        <f t="shared" si="0"/>
        <v>0.81980975715212223</v>
      </c>
    </row>
    <row r="34" spans="1:24" x14ac:dyDescent="0.55000000000000004">
      <c r="A34" s="99"/>
      <c r="B34" s="100"/>
      <c r="C34" s="100">
        <f>(C33*3.7*10^10)</f>
        <v>2.2798166666666668E-2</v>
      </c>
      <c r="D34" s="100" t="s">
        <v>310</v>
      </c>
      <c r="E34" s="100"/>
      <c r="F34" s="82" t="s">
        <v>311</v>
      </c>
      <c r="G34" s="100"/>
      <c r="H34" s="100"/>
      <c r="I34" s="83"/>
      <c r="J34" s="84"/>
      <c r="P34" s="10">
        <v>26</v>
      </c>
      <c r="Q34" s="10" t="s">
        <v>90</v>
      </c>
      <c r="R34" s="10"/>
      <c r="S34" s="10" t="s">
        <v>91</v>
      </c>
      <c r="T34" s="10">
        <v>0.46555999999999997</v>
      </c>
      <c r="U34" s="10">
        <v>286</v>
      </c>
      <c r="V34" s="17">
        <v>7.8739999999999997</v>
      </c>
      <c r="X34">
        <f t="shared" si="0"/>
        <v>0.83872594941269718</v>
      </c>
    </row>
    <row r="35" spans="1:24" ht="14.7" thickBot="1" x14ac:dyDescent="0.6">
      <c r="A35" s="105"/>
      <c r="B35" s="106"/>
      <c r="C35" s="107">
        <f>C31*1000000000000</f>
        <v>0.36969999999999997</v>
      </c>
      <c r="D35" s="108" t="s">
        <v>312</v>
      </c>
      <c r="E35" s="107"/>
      <c r="F35" s="107"/>
      <c r="G35" s="107"/>
      <c r="H35" s="108"/>
      <c r="I35" s="109"/>
      <c r="J35" s="110"/>
      <c r="P35" s="10">
        <v>27</v>
      </c>
      <c r="Q35" s="10" t="s">
        <v>92</v>
      </c>
      <c r="R35" s="10"/>
      <c r="S35" s="10" t="s">
        <v>93</v>
      </c>
      <c r="T35" s="10">
        <v>0.45815</v>
      </c>
      <c r="U35" s="10">
        <v>297</v>
      </c>
      <c r="V35" s="17">
        <v>8.9</v>
      </c>
      <c r="X35">
        <f t="shared" si="0"/>
        <v>0.82537652230309144</v>
      </c>
    </row>
    <row r="36" spans="1:24" x14ac:dyDescent="0.55000000000000004">
      <c r="P36" s="10">
        <v>28</v>
      </c>
      <c r="Q36" s="10" t="s">
        <v>94</v>
      </c>
      <c r="R36" s="10"/>
      <c r="S36" s="10" t="s">
        <v>95</v>
      </c>
      <c r="T36" s="10">
        <v>0.47708</v>
      </c>
      <c r="U36" s="10">
        <v>311</v>
      </c>
      <c r="V36" s="17">
        <v>8.9019999999999992</v>
      </c>
      <c r="X36">
        <f t="shared" si="0"/>
        <v>0.85947971463572814</v>
      </c>
    </row>
    <row r="37" spans="1:24" x14ac:dyDescent="0.55000000000000004">
      <c r="P37" s="10">
        <v>29</v>
      </c>
      <c r="Q37" s="10" t="s">
        <v>96</v>
      </c>
      <c r="R37" s="10"/>
      <c r="S37" s="10" t="s">
        <v>97</v>
      </c>
      <c r="T37" s="10">
        <v>0.45635999999999999</v>
      </c>
      <c r="U37" s="10">
        <v>322</v>
      </c>
      <c r="V37" s="17">
        <v>8.9600000000000009</v>
      </c>
      <c r="X37">
        <f t="shared" si="0"/>
        <v>0.82215176190819339</v>
      </c>
    </row>
    <row r="38" spans="1:24" x14ac:dyDescent="0.55000000000000004">
      <c r="P38" s="10">
        <v>30</v>
      </c>
      <c r="Q38" s="10" t="s">
        <v>98</v>
      </c>
      <c r="R38" s="10"/>
      <c r="S38" s="10" t="s">
        <v>99</v>
      </c>
      <c r="T38" s="10">
        <v>0.45878999999999998</v>
      </c>
      <c r="U38" s="10">
        <v>330</v>
      </c>
      <c r="V38" s="17">
        <v>7.133</v>
      </c>
      <c r="X38">
        <f t="shared" si="0"/>
        <v>0.82652950925992641</v>
      </c>
    </row>
    <row r="39" spans="1:24" x14ac:dyDescent="0.55000000000000004">
      <c r="P39" s="10">
        <v>31</v>
      </c>
      <c r="Q39" s="10" t="s">
        <v>100</v>
      </c>
      <c r="R39" s="10"/>
      <c r="S39" s="10" t="s">
        <v>101</v>
      </c>
      <c r="T39" s="10">
        <v>0.44462000000000002</v>
      </c>
      <c r="U39" s="10">
        <v>334</v>
      </c>
      <c r="V39" s="17">
        <v>5.9039999999999999</v>
      </c>
      <c r="X39">
        <f t="shared" si="0"/>
        <v>0.8010016574187504</v>
      </c>
    </row>
    <row r="40" spans="1:24" ht="28.8" x14ac:dyDescent="0.55000000000000004">
      <c r="P40" s="10">
        <v>32</v>
      </c>
      <c r="Q40" s="10" t="s">
        <v>102</v>
      </c>
      <c r="R40" s="10"/>
      <c r="S40" s="10" t="s">
        <v>103</v>
      </c>
      <c r="T40" s="10">
        <v>0.44070999999999999</v>
      </c>
      <c r="U40" s="10">
        <v>350</v>
      </c>
      <c r="V40" s="17">
        <v>5.3230000000000004</v>
      </c>
      <c r="X40">
        <f t="shared" si="0"/>
        <v>0.79395762772933631</v>
      </c>
    </row>
    <row r="41" spans="1:24" x14ac:dyDescent="0.55000000000000004">
      <c r="P41" s="10">
        <v>33</v>
      </c>
      <c r="Q41" s="10" t="s">
        <v>104</v>
      </c>
      <c r="R41" s="10"/>
      <c r="S41" s="10" t="s">
        <v>105</v>
      </c>
      <c r="T41" s="10">
        <v>0.44046000000000002</v>
      </c>
      <c r="U41" s="10">
        <v>347</v>
      </c>
      <c r="V41" s="17">
        <v>5.73</v>
      </c>
      <c r="X41">
        <f t="shared" ref="X41:X72" si="1">T41/T$101</f>
        <v>0.79350724219932267</v>
      </c>
    </row>
    <row r="42" spans="1:24" x14ac:dyDescent="0.55000000000000004">
      <c r="P42" s="10">
        <v>34</v>
      </c>
      <c r="Q42" s="10" t="s">
        <v>106</v>
      </c>
      <c r="R42" s="10"/>
      <c r="S42" s="10" t="s">
        <v>107</v>
      </c>
      <c r="T42" s="10">
        <v>0.43059999999999998</v>
      </c>
      <c r="U42" s="10">
        <v>348</v>
      </c>
      <c r="V42" s="17">
        <v>4.5</v>
      </c>
      <c r="X42">
        <f t="shared" si="1"/>
        <v>0.77574403689558258</v>
      </c>
    </row>
    <row r="43" spans="1:24" x14ac:dyDescent="0.55000000000000004">
      <c r="P43" s="10">
        <v>35</v>
      </c>
      <c r="Q43" s="10" t="s">
        <v>108</v>
      </c>
      <c r="R43" s="10"/>
      <c r="S43" s="10" t="s">
        <v>109</v>
      </c>
      <c r="T43" s="10">
        <v>0.43802999999999997</v>
      </c>
      <c r="U43" s="10">
        <v>343</v>
      </c>
      <c r="V43" s="17">
        <v>7.0720000000000002E-3</v>
      </c>
      <c r="X43">
        <f t="shared" si="1"/>
        <v>0.78912949484758943</v>
      </c>
    </row>
    <row r="44" spans="1:24" x14ac:dyDescent="0.55000000000000004">
      <c r="P44" s="10">
        <v>36</v>
      </c>
      <c r="Q44" s="10" t="s">
        <v>110</v>
      </c>
      <c r="R44" s="10"/>
      <c r="S44" s="10" t="s">
        <v>111</v>
      </c>
      <c r="T44" s="10">
        <v>0.42959000000000003</v>
      </c>
      <c r="U44" s="10">
        <v>352</v>
      </c>
      <c r="V44" s="17">
        <v>3.4780000000000002E-3</v>
      </c>
      <c r="X44">
        <f t="shared" si="1"/>
        <v>0.77392447935432729</v>
      </c>
    </row>
    <row r="45" spans="1:24" x14ac:dyDescent="0.55000000000000004">
      <c r="P45" s="10">
        <v>37</v>
      </c>
      <c r="Q45" s="10" t="s">
        <v>112</v>
      </c>
      <c r="R45" s="10"/>
      <c r="S45" s="10" t="s">
        <v>113</v>
      </c>
      <c r="T45" s="10">
        <v>0.43291000000000002</v>
      </c>
      <c r="U45" s="10">
        <v>363</v>
      </c>
      <c r="V45" s="17">
        <v>1.532</v>
      </c>
      <c r="X45">
        <f t="shared" si="1"/>
        <v>0.77990559919290914</v>
      </c>
    </row>
    <row r="46" spans="1:24" x14ac:dyDescent="0.55000000000000004">
      <c r="P46" s="10">
        <v>38</v>
      </c>
      <c r="Q46" s="10" t="s">
        <v>114</v>
      </c>
      <c r="R46" s="10"/>
      <c r="S46" s="10" t="s">
        <v>115</v>
      </c>
      <c r="T46" s="10">
        <v>0.43369000000000002</v>
      </c>
      <c r="U46" s="10">
        <v>366</v>
      </c>
      <c r="V46" s="17">
        <v>2.54</v>
      </c>
      <c r="X46">
        <f t="shared" si="1"/>
        <v>0.7813108020465519</v>
      </c>
    </row>
    <row r="47" spans="1:24" x14ac:dyDescent="0.55000000000000004">
      <c r="P47" s="10">
        <v>39</v>
      </c>
      <c r="Q47" s="10" t="s">
        <v>116</v>
      </c>
      <c r="R47" s="10"/>
      <c r="S47" s="10" t="s">
        <v>117</v>
      </c>
      <c r="T47" s="10">
        <v>0.43867</v>
      </c>
      <c r="U47" s="10">
        <v>379</v>
      </c>
      <c r="V47" s="17">
        <v>4.4690000000000003</v>
      </c>
      <c r="X47">
        <f t="shared" si="1"/>
        <v>0.79028248180442462</v>
      </c>
    </row>
    <row r="48" spans="1:24" x14ac:dyDescent="0.55000000000000004">
      <c r="P48" s="10">
        <v>40</v>
      </c>
      <c r="Q48" s="10" t="s">
        <v>118</v>
      </c>
      <c r="R48" s="10"/>
      <c r="S48" s="10" t="s">
        <v>119</v>
      </c>
      <c r="T48" s="10">
        <v>0.43847999999999998</v>
      </c>
      <c r="U48" s="10">
        <v>393</v>
      </c>
      <c r="V48" s="17">
        <v>6.5060000000000002</v>
      </c>
      <c r="X48">
        <f t="shared" si="1"/>
        <v>0.7899401888016141</v>
      </c>
    </row>
    <row r="49" spans="16:24" x14ac:dyDescent="0.55000000000000004">
      <c r="P49" s="10">
        <v>41</v>
      </c>
      <c r="Q49" s="10" t="s">
        <v>120</v>
      </c>
      <c r="R49" s="10"/>
      <c r="S49" s="10" t="s">
        <v>121</v>
      </c>
      <c r="T49" s="10">
        <v>0.44130000000000003</v>
      </c>
      <c r="U49" s="10">
        <v>417</v>
      </c>
      <c r="V49" s="17">
        <v>8.57</v>
      </c>
      <c r="X49">
        <f t="shared" si="1"/>
        <v>0.79502053758016866</v>
      </c>
    </row>
    <row r="50" spans="16:24" ht="28.8" x14ac:dyDescent="0.55000000000000004">
      <c r="P50" s="10">
        <v>42</v>
      </c>
      <c r="Q50" s="10" t="s">
        <v>122</v>
      </c>
      <c r="R50" s="10"/>
      <c r="S50" s="10" t="s">
        <v>123</v>
      </c>
      <c r="T50" s="10">
        <v>0.43776999999999999</v>
      </c>
      <c r="U50" s="10">
        <v>424</v>
      </c>
      <c r="V50" s="17">
        <v>10.220000000000001</v>
      </c>
      <c r="X50">
        <f t="shared" si="1"/>
        <v>0.78866109389637529</v>
      </c>
    </row>
    <row r="51" spans="16:24" ht="28.8" x14ac:dyDescent="0.55000000000000004">
      <c r="P51" s="10">
        <v>43</v>
      </c>
      <c r="Q51" s="10" t="s">
        <v>124</v>
      </c>
      <c r="R51" s="10"/>
      <c r="S51" s="10" t="s">
        <v>125</v>
      </c>
      <c r="T51" s="10">
        <v>0.43919000000000002</v>
      </c>
      <c r="U51" s="10">
        <v>428</v>
      </c>
      <c r="V51" s="17">
        <v>11.5</v>
      </c>
      <c r="X51">
        <f t="shared" si="1"/>
        <v>0.79121928370685313</v>
      </c>
    </row>
    <row r="52" spans="16:24" ht="28.8" x14ac:dyDescent="0.55000000000000004">
      <c r="P52" s="10">
        <v>44</v>
      </c>
      <c r="Q52" s="10" t="s">
        <v>126</v>
      </c>
      <c r="R52" s="10"/>
      <c r="S52" s="10" t="s">
        <v>127</v>
      </c>
      <c r="T52" s="10">
        <v>0.43534</v>
      </c>
      <c r="U52" s="10">
        <v>441</v>
      </c>
      <c r="V52" s="17">
        <v>12.41</v>
      </c>
      <c r="X52">
        <f t="shared" si="1"/>
        <v>0.78428334654464216</v>
      </c>
    </row>
    <row r="53" spans="16:24" x14ac:dyDescent="0.55000000000000004">
      <c r="P53" s="10">
        <v>45</v>
      </c>
      <c r="Q53" s="10" t="s">
        <v>128</v>
      </c>
      <c r="R53" s="10"/>
      <c r="S53" s="10" t="s">
        <v>129</v>
      </c>
      <c r="T53" s="10">
        <v>0.43729000000000001</v>
      </c>
      <c r="U53" s="10">
        <v>449</v>
      </c>
      <c r="V53" s="17">
        <v>12.41</v>
      </c>
      <c r="X53">
        <f t="shared" si="1"/>
        <v>0.78779635367874901</v>
      </c>
    </row>
    <row r="54" spans="16:24" x14ac:dyDescent="0.55000000000000004">
      <c r="P54" s="10">
        <v>46</v>
      </c>
      <c r="Q54" s="10" t="s">
        <v>130</v>
      </c>
      <c r="R54" s="10"/>
      <c r="S54" s="10" t="s">
        <v>131</v>
      </c>
      <c r="T54" s="10">
        <v>0.43225000000000002</v>
      </c>
      <c r="U54" s="10">
        <v>470</v>
      </c>
      <c r="V54" s="17">
        <v>12.02</v>
      </c>
      <c r="X54">
        <f t="shared" si="1"/>
        <v>0.77871658139367295</v>
      </c>
    </row>
    <row r="55" spans="16:24" x14ac:dyDescent="0.55000000000000004">
      <c r="P55" s="10">
        <v>47</v>
      </c>
      <c r="Q55" s="10" t="s">
        <v>132</v>
      </c>
      <c r="R55" s="10"/>
      <c r="S55" s="10" t="s">
        <v>133</v>
      </c>
      <c r="T55" s="10">
        <v>0.43572</v>
      </c>
      <c r="U55" s="10">
        <v>470</v>
      </c>
      <c r="V55" s="17">
        <v>10.5</v>
      </c>
      <c r="X55">
        <f t="shared" si="1"/>
        <v>0.78496793255026298</v>
      </c>
    </row>
    <row r="56" spans="16:24" x14ac:dyDescent="0.55000000000000004">
      <c r="P56" s="10">
        <v>48</v>
      </c>
      <c r="Q56" s="10" t="s">
        <v>134</v>
      </c>
      <c r="R56" s="10"/>
      <c r="S56" s="10" t="s">
        <v>135</v>
      </c>
      <c r="T56" s="10">
        <v>0.42699999999999999</v>
      </c>
      <c r="U56" s="10">
        <v>469</v>
      </c>
      <c r="V56" s="17">
        <v>8.65</v>
      </c>
      <c r="X56">
        <f t="shared" si="1"/>
        <v>0.76925848526338547</v>
      </c>
    </row>
    <row r="57" spans="16:24" x14ac:dyDescent="0.55000000000000004">
      <c r="P57" s="10">
        <v>49</v>
      </c>
      <c r="Q57" s="10" t="s">
        <v>136</v>
      </c>
      <c r="R57" s="10"/>
      <c r="S57" s="10" t="s">
        <v>137</v>
      </c>
      <c r="T57" s="10">
        <v>0.42675999999999997</v>
      </c>
      <c r="U57" s="10">
        <v>488</v>
      </c>
      <c r="V57" s="17">
        <v>7.31</v>
      </c>
      <c r="X57">
        <f t="shared" si="1"/>
        <v>0.76882611515457222</v>
      </c>
    </row>
    <row r="58" spans="16:24" x14ac:dyDescent="0.55000000000000004">
      <c r="P58" s="10">
        <v>50</v>
      </c>
      <c r="Q58" s="10" t="s">
        <v>138</v>
      </c>
      <c r="R58" s="10"/>
      <c r="S58" s="10" t="s">
        <v>139</v>
      </c>
      <c r="T58" s="10">
        <v>0.42120000000000002</v>
      </c>
      <c r="U58" s="10">
        <v>488</v>
      </c>
      <c r="V58" s="17">
        <v>7.31</v>
      </c>
      <c r="X58">
        <f t="shared" si="1"/>
        <v>0.75880954096706787</v>
      </c>
    </row>
    <row r="59" spans="16:24" x14ac:dyDescent="0.55000000000000004">
      <c r="P59" s="10">
        <v>51</v>
      </c>
      <c r="Q59" s="10" t="s">
        <v>140</v>
      </c>
      <c r="R59" s="10"/>
      <c r="S59" s="10" t="s">
        <v>141</v>
      </c>
      <c r="T59" s="10">
        <v>0.41888999999999998</v>
      </c>
      <c r="U59" s="10">
        <v>487</v>
      </c>
      <c r="V59" s="17">
        <v>6.6909999999999998</v>
      </c>
      <c r="X59">
        <f t="shared" si="1"/>
        <v>0.7546479786697412</v>
      </c>
    </row>
    <row r="60" spans="16:24" x14ac:dyDescent="0.55000000000000004">
      <c r="P60" s="10">
        <v>52</v>
      </c>
      <c r="Q60" s="10" t="s">
        <v>142</v>
      </c>
      <c r="R60" s="10"/>
      <c r="S60" s="10" t="s">
        <v>143</v>
      </c>
      <c r="T60" s="10">
        <v>0.40751999999999999</v>
      </c>
      <c r="U60" s="10">
        <v>485</v>
      </c>
      <c r="V60" s="17">
        <v>6.24</v>
      </c>
      <c r="X60">
        <f t="shared" si="1"/>
        <v>0.73416444476471854</v>
      </c>
    </row>
    <row r="61" spans="16:24" x14ac:dyDescent="0.55000000000000004">
      <c r="P61" s="10">
        <v>53</v>
      </c>
      <c r="Q61" s="10" t="s">
        <v>36</v>
      </c>
      <c r="R61" s="10"/>
      <c r="S61" s="10" t="s">
        <v>144</v>
      </c>
      <c r="T61" s="10">
        <v>0.41764000000000001</v>
      </c>
      <c r="U61" s="10">
        <v>491</v>
      </c>
      <c r="V61" s="17">
        <v>4.93</v>
      </c>
      <c r="X61">
        <f t="shared" si="1"/>
        <v>0.75239605101967288</v>
      </c>
    </row>
    <row r="62" spans="16:24" x14ac:dyDescent="0.55000000000000004">
      <c r="P62" s="10">
        <v>54</v>
      </c>
      <c r="Q62" s="10" t="s">
        <v>145</v>
      </c>
      <c r="R62" s="10"/>
      <c r="S62" s="10" t="s">
        <v>146</v>
      </c>
      <c r="T62" s="10">
        <v>0.4113</v>
      </c>
      <c r="U62" s="10">
        <v>482</v>
      </c>
      <c r="V62" s="17">
        <v>5.4850000000000003E-3</v>
      </c>
      <c r="X62">
        <f t="shared" si="1"/>
        <v>0.74097427397852555</v>
      </c>
    </row>
    <row r="63" spans="16:24" x14ac:dyDescent="0.55000000000000004">
      <c r="P63" s="10">
        <v>55</v>
      </c>
      <c r="Q63" s="10" t="s">
        <v>147</v>
      </c>
      <c r="R63" s="10"/>
      <c r="S63" s="10" t="s">
        <v>148</v>
      </c>
      <c r="T63" s="10">
        <v>0.41382999999999998</v>
      </c>
      <c r="U63" s="10">
        <v>488</v>
      </c>
      <c r="V63" s="17">
        <v>1.873</v>
      </c>
      <c r="X63">
        <f t="shared" si="1"/>
        <v>0.74553217554226414</v>
      </c>
    </row>
    <row r="64" spans="16:24" x14ac:dyDescent="0.55000000000000004">
      <c r="P64" s="10">
        <v>56</v>
      </c>
      <c r="Q64" s="10" t="s">
        <v>149</v>
      </c>
      <c r="R64" s="10"/>
      <c r="S64" s="10" t="s">
        <v>150</v>
      </c>
      <c r="T64" s="10">
        <v>0.40778999999999999</v>
      </c>
      <c r="U64" s="10">
        <v>491</v>
      </c>
      <c r="V64" s="17">
        <v>3.5</v>
      </c>
      <c r="X64">
        <f t="shared" si="1"/>
        <v>0.73465086113713329</v>
      </c>
    </row>
    <row r="65" spans="16:24" ht="28.8" x14ac:dyDescent="0.55000000000000004">
      <c r="P65" s="10">
        <v>57</v>
      </c>
      <c r="Q65" s="10" t="s">
        <v>151</v>
      </c>
      <c r="R65" s="10"/>
      <c r="S65" s="10" t="s">
        <v>152</v>
      </c>
      <c r="T65" s="10">
        <v>0.41034999999999999</v>
      </c>
      <c r="U65" s="10">
        <v>501</v>
      </c>
      <c r="V65" s="17">
        <v>6.1539999999999999</v>
      </c>
      <c r="X65">
        <f t="shared" si="1"/>
        <v>0.73926280896447361</v>
      </c>
    </row>
    <row r="66" spans="16:24" x14ac:dyDescent="0.55000000000000004">
      <c r="P66" s="10">
        <v>58</v>
      </c>
      <c r="Q66" s="10" t="s">
        <v>153</v>
      </c>
      <c r="R66" s="10"/>
      <c r="S66" s="10" t="s">
        <v>154</v>
      </c>
      <c r="T66" s="10">
        <v>0.41394999999999998</v>
      </c>
      <c r="U66" s="10">
        <v>523</v>
      </c>
      <c r="V66" s="17">
        <v>6.657</v>
      </c>
      <c r="X66">
        <f t="shared" si="1"/>
        <v>0.74574836059667071</v>
      </c>
    </row>
    <row r="67" spans="16:24" ht="28.8" x14ac:dyDescent="0.55000000000000004">
      <c r="P67" s="10">
        <v>59</v>
      </c>
      <c r="Q67" s="10" t="s">
        <v>155</v>
      </c>
      <c r="R67" s="10"/>
      <c r="S67" s="10" t="s">
        <v>156</v>
      </c>
      <c r="T67" s="10">
        <v>0.41871000000000003</v>
      </c>
      <c r="U67" s="10">
        <v>535</v>
      </c>
      <c r="V67" s="17">
        <v>6.71</v>
      </c>
      <c r="X67">
        <f t="shared" si="1"/>
        <v>0.75432370108813152</v>
      </c>
    </row>
    <row r="68" spans="16:24" ht="28.8" x14ac:dyDescent="0.55000000000000004">
      <c r="P68" s="10">
        <v>60</v>
      </c>
      <c r="Q68" s="10" t="s">
        <v>157</v>
      </c>
      <c r="R68" s="10"/>
      <c r="S68" s="10" t="s">
        <v>158</v>
      </c>
      <c r="T68" s="10">
        <v>0.41597000000000001</v>
      </c>
      <c r="U68" s="10">
        <v>546</v>
      </c>
      <c r="V68" s="17">
        <v>6.9</v>
      </c>
      <c r="X68">
        <f t="shared" si="1"/>
        <v>0.7493874756791814</v>
      </c>
    </row>
    <row r="69" spans="16:24" ht="28.8" x14ac:dyDescent="0.55000000000000004">
      <c r="P69" s="10">
        <v>61</v>
      </c>
      <c r="Q69" s="10" t="s">
        <v>159</v>
      </c>
      <c r="R69" s="10"/>
      <c r="S69" s="10" t="s">
        <v>160</v>
      </c>
      <c r="T69" s="10">
        <v>0.42093999999999998</v>
      </c>
      <c r="U69" s="10">
        <v>560</v>
      </c>
      <c r="V69" s="17">
        <v>7.22</v>
      </c>
      <c r="X69">
        <f t="shared" si="1"/>
        <v>0.75834114001585351</v>
      </c>
    </row>
    <row r="70" spans="16:24" x14ac:dyDescent="0.55000000000000004">
      <c r="P70" s="10">
        <v>62</v>
      </c>
      <c r="Q70" s="10" t="s">
        <v>161</v>
      </c>
      <c r="R70" s="10"/>
      <c r="S70" s="10" t="s">
        <v>162</v>
      </c>
      <c r="T70" s="10">
        <v>0.41233999999999998</v>
      </c>
      <c r="U70" s="10">
        <v>574</v>
      </c>
      <c r="V70" s="17">
        <v>7.46</v>
      </c>
      <c r="X70">
        <f t="shared" si="1"/>
        <v>0.74284787778338257</v>
      </c>
    </row>
    <row r="71" spans="16:24" x14ac:dyDescent="0.55000000000000004">
      <c r="P71" s="10">
        <v>63</v>
      </c>
      <c r="Q71" s="10" t="s">
        <v>163</v>
      </c>
      <c r="R71" s="10"/>
      <c r="S71" s="10" t="s">
        <v>164</v>
      </c>
      <c r="T71" s="10">
        <v>0.41456999999999999</v>
      </c>
      <c r="U71" s="10">
        <v>580</v>
      </c>
      <c r="V71" s="17">
        <v>5.2430000000000003</v>
      </c>
      <c r="X71">
        <f t="shared" si="1"/>
        <v>0.74686531671110468</v>
      </c>
    </row>
    <row r="72" spans="16:24" ht="28.8" x14ac:dyDescent="0.55000000000000004">
      <c r="P72" s="10">
        <v>64</v>
      </c>
      <c r="Q72" s="10" t="s">
        <v>165</v>
      </c>
      <c r="R72" s="10"/>
      <c r="S72" s="10" t="s">
        <v>166</v>
      </c>
      <c r="T72" s="10">
        <v>0.40699000000000002</v>
      </c>
      <c r="U72" s="10">
        <v>591</v>
      </c>
      <c r="V72" s="17">
        <v>7.9</v>
      </c>
      <c r="X72">
        <f t="shared" si="1"/>
        <v>0.73320962744108953</v>
      </c>
    </row>
    <row r="73" spans="16:24" x14ac:dyDescent="0.55000000000000004">
      <c r="P73" s="10">
        <v>65</v>
      </c>
      <c r="Q73" s="10" t="s">
        <v>167</v>
      </c>
      <c r="R73" s="10"/>
      <c r="S73" s="10" t="s">
        <v>168</v>
      </c>
      <c r="T73" s="10">
        <v>0.40899999999999997</v>
      </c>
      <c r="U73" s="10">
        <v>614</v>
      </c>
      <c r="V73" s="17">
        <v>8.2289999999999992</v>
      </c>
      <c r="X73">
        <f t="shared" ref="X73:X101" si="2">T73/T$101</f>
        <v>0.73683072710239961</v>
      </c>
    </row>
    <row r="74" spans="16:24" ht="28.8" x14ac:dyDescent="0.55000000000000004">
      <c r="P74" s="10">
        <v>66</v>
      </c>
      <c r="Q74" s="10" t="s">
        <v>169</v>
      </c>
      <c r="R74" s="10"/>
      <c r="S74" s="10" t="s">
        <v>170</v>
      </c>
      <c r="T74" s="10">
        <v>0.40615000000000001</v>
      </c>
      <c r="U74" s="10">
        <v>628</v>
      </c>
      <c r="V74" s="17">
        <v>8.5500000000000007</v>
      </c>
      <c r="X74">
        <f t="shared" si="2"/>
        <v>0.73169633206024354</v>
      </c>
    </row>
    <row r="75" spans="16:24" x14ac:dyDescent="0.55000000000000004">
      <c r="P75" s="10">
        <v>67</v>
      </c>
      <c r="Q75" s="10" t="s">
        <v>171</v>
      </c>
      <c r="R75" s="10"/>
      <c r="S75" s="10" t="s">
        <v>172</v>
      </c>
      <c r="T75" s="10">
        <v>0.40622999999999998</v>
      </c>
      <c r="U75" s="10">
        <v>650</v>
      </c>
      <c r="V75" s="17">
        <v>8.7949999999999999</v>
      </c>
      <c r="X75">
        <f t="shared" si="2"/>
        <v>0.73184045542984788</v>
      </c>
    </row>
    <row r="76" spans="16:24" x14ac:dyDescent="0.55000000000000004">
      <c r="P76" s="10">
        <v>68</v>
      </c>
      <c r="Q76" s="10" t="s">
        <v>173</v>
      </c>
      <c r="R76" s="10"/>
      <c r="S76" s="10" t="s">
        <v>174</v>
      </c>
      <c r="T76" s="10">
        <v>0.40655000000000002</v>
      </c>
      <c r="U76" s="10">
        <v>658</v>
      </c>
      <c r="V76" s="17">
        <v>9.0660000000000007</v>
      </c>
      <c r="X76">
        <f t="shared" si="2"/>
        <v>0.73241694890826547</v>
      </c>
    </row>
    <row r="77" spans="16:24" x14ac:dyDescent="0.55000000000000004">
      <c r="P77" s="10">
        <v>69</v>
      </c>
      <c r="Q77" s="10" t="s">
        <v>175</v>
      </c>
      <c r="R77" s="10"/>
      <c r="S77" s="10" t="s">
        <v>176</v>
      </c>
      <c r="T77" s="10">
        <v>0.40844000000000003</v>
      </c>
      <c r="U77" s="10">
        <v>674</v>
      </c>
      <c r="V77" s="17">
        <v>9.3209999999999997</v>
      </c>
      <c r="X77">
        <f t="shared" si="2"/>
        <v>0.73582186351516898</v>
      </c>
    </row>
    <row r="78" spans="16:24" x14ac:dyDescent="0.55000000000000004">
      <c r="P78" s="10">
        <v>70</v>
      </c>
      <c r="Q78" s="10" t="s">
        <v>177</v>
      </c>
      <c r="R78" s="10"/>
      <c r="S78" s="10" t="s">
        <v>178</v>
      </c>
      <c r="T78" s="10">
        <v>0.40453</v>
      </c>
      <c r="U78" s="10">
        <v>684</v>
      </c>
      <c r="V78" s="17">
        <v>6.73</v>
      </c>
      <c r="X78">
        <f t="shared" si="2"/>
        <v>0.72877783382575478</v>
      </c>
    </row>
    <row r="79" spans="16:24" x14ac:dyDescent="0.55000000000000004">
      <c r="P79" s="10">
        <v>71</v>
      </c>
      <c r="Q79" s="10" t="s">
        <v>179</v>
      </c>
      <c r="R79" s="10"/>
      <c r="S79" s="10" t="s">
        <v>180</v>
      </c>
      <c r="T79" s="10">
        <v>0.40578999999999998</v>
      </c>
      <c r="U79" s="10">
        <v>694</v>
      </c>
      <c r="V79" s="17">
        <v>9.84</v>
      </c>
      <c r="X79">
        <f t="shared" si="2"/>
        <v>0.73104777689702383</v>
      </c>
    </row>
    <row r="80" spans="16:24" x14ac:dyDescent="0.55000000000000004">
      <c r="P80" s="10">
        <v>72</v>
      </c>
      <c r="Q80" s="10" t="s">
        <v>181</v>
      </c>
      <c r="R80" s="10"/>
      <c r="S80" s="10" t="s">
        <v>182</v>
      </c>
      <c r="T80" s="10">
        <v>0.40338000000000002</v>
      </c>
      <c r="U80" s="10">
        <v>705</v>
      </c>
      <c r="V80" s="17">
        <v>13.31</v>
      </c>
      <c r="X80">
        <f t="shared" si="2"/>
        <v>0.72670606038769192</v>
      </c>
    </row>
    <row r="81" spans="16:24" x14ac:dyDescent="0.55000000000000004">
      <c r="P81" s="10">
        <v>73</v>
      </c>
      <c r="Q81" s="10" t="s">
        <v>183</v>
      </c>
      <c r="R81" s="10"/>
      <c r="S81" s="10" t="s">
        <v>184</v>
      </c>
      <c r="T81" s="10">
        <v>0.40343000000000001</v>
      </c>
      <c r="U81" s="10">
        <v>718</v>
      </c>
      <c r="V81" s="17">
        <v>16.649999999999999</v>
      </c>
      <c r="X81">
        <f t="shared" si="2"/>
        <v>0.72679613749369465</v>
      </c>
    </row>
    <row r="82" spans="16:24" x14ac:dyDescent="0.55000000000000004">
      <c r="P82" s="10">
        <v>74</v>
      </c>
      <c r="Q82" s="10" t="s">
        <v>185</v>
      </c>
      <c r="R82" s="10"/>
      <c r="S82" s="10" t="s">
        <v>186</v>
      </c>
      <c r="T82" s="10">
        <v>0.40250000000000002</v>
      </c>
      <c r="U82" s="10">
        <v>727</v>
      </c>
      <c r="V82" s="17">
        <v>19.3</v>
      </c>
      <c r="X82">
        <f t="shared" si="2"/>
        <v>0.7251207033220437</v>
      </c>
    </row>
    <row r="83" spans="16:24" x14ac:dyDescent="0.55000000000000004">
      <c r="P83" s="10">
        <v>75</v>
      </c>
      <c r="Q83" s="10" t="s">
        <v>187</v>
      </c>
      <c r="R83" s="10"/>
      <c r="S83" s="10" t="s">
        <v>188</v>
      </c>
      <c r="T83" s="10">
        <v>0.40278000000000003</v>
      </c>
      <c r="U83" s="10">
        <v>736</v>
      </c>
      <c r="V83" s="17">
        <v>21.02</v>
      </c>
      <c r="X83">
        <f t="shared" si="2"/>
        <v>0.72562513511565907</v>
      </c>
    </row>
    <row r="84" spans="16:24" x14ac:dyDescent="0.55000000000000004">
      <c r="P84" s="10">
        <v>76</v>
      </c>
      <c r="Q84" s="10" t="s">
        <v>189</v>
      </c>
      <c r="R84" s="10"/>
      <c r="S84" s="10" t="s">
        <v>190</v>
      </c>
      <c r="T84" s="10">
        <v>0.39957999999999999</v>
      </c>
      <c r="U84" s="10">
        <v>746</v>
      </c>
      <c r="V84" s="17">
        <v>22.57</v>
      </c>
      <c r="X84">
        <f t="shared" si="2"/>
        <v>0.71986020033148368</v>
      </c>
    </row>
    <row r="85" spans="16:24" x14ac:dyDescent="0.55000000000000004">
      <c r="P85" s="10">
        <v>77</v>
      </c>
      <c r="Q85" s="10" t="s">
        <v>191</v>
      </c>
      <c r="R85" s="10"/>
      <c r="S85" s="10" t="s">
        <v>192</v>
      </c>
      <c r="T85" s="10">
        <v>0.40057999999999999</v>
      </c>
      <c r="U85" s="10">
        <v>757</v>
      </c>
      <c r="V85" s="17">
        <v>22.42</v>
      </c>
      <c r="X85">
        <f t="shared" si="2"/>
        <v>0.72166174245153847</v>
      </c>
    </row>
    <row r="86" spans="16:24" x14ac:dyDescent="0.55000000000000004">
      <c r="P86" s="10">
        <v>78</v>
      </c>
      <c r="Q86" s="10" t="s">
        <v>193</v>
      </c>
      <c r="R86" s="10"/>
      <c r="S86" s="10" t="s">
        <v>194</v>
      </c>
      <c r="T86" s="10">
        <v>0.39983999999999997</v>
      </c>
      <c r="U86" s="10">
        <v>790</v>
      </c>
      <c r="V86" s="17">
        <v>21.45</v>
      </c>
      <c r="X86">
        <f t="shared" si="2"/>
        <v>0.72032860128269793</v>
      </c>
    </row>
    <row r="87" spans="16:24" x14ac:dyDescent="0.55000000000000004">
      <c r="P87" s="10">
        <v>79</v>
      </c>
      <c r="Q87" s="10" t="s">
        <v>195</v>
      </c>
      <c r="R87" s="10"/>
      <c r="S87" s="10" t="s">
        <v>196</v>
      </c>
      <c r="T87" s="10">
        <v>0.40107999999999999</v>
      </c>
      <c r="U87" s="10">
        <v>790</v>
      </c>
      <c r="V87" s="17">
        <v>19.32</v>
      </c>
      <c r="X87">
        <f t="shared" si="2"/>
        <v>0.72256251351156586</v>
      </c>
    </row>
    <row r="88" spans="16:24" x14ac:dyDescent="0.55000000000000004">
      <c r="P88" s="10">
        <v>80</v>
      </c>
      <c r="Q88" s="10" t="s">
        <v>197</v>
      </c>
      <c r="R88" s="10"/>
      <c r="S88" s="10" t="s">
        <v>198</v>
      </c>
      <c r="T88" s="10">
        <v>0.39882000000000001</v>
      </c>
      <c r="U88" s="10">
        <v>800</v>
      </c>
      <c r="V88" s="17">
        <v>13.55</v>
      </c>
      <c r="X88">
        <f t="shared" si="2"/>
        <v>0.71849102832024214</v>
      </c>
    </row>
    <row r="89" spans="16:24" x14ac:dyDescent="0.55000000000000004">
      <c r="P89" s="10">
        <v>81</v>
      </c>
      <c r="Q89" s="10" t="s">
        <v>199</v>
      </c>
      <c r="R89" s="10"/>
      <c r="S89" s="10" t="s">
        <v>200</v>
      </c>
      <c r="T89" s="10">
        <v>0.39631</v>
      </c>
      <c r="U89" s="10">
        <v>810</v>
      </c>
      <c r="V89" s="17">
        <v>11.72</v>
      </c>
      <c r="X89">
        <f t="shared" si="2"/>
        <v>0.71396915759890467</v>
      </c>
    </row>
    <row r="90" spans="16:24" x14ac:dyDescent="0.55000000000000004">
      <c r="P90" s="10">
        <v>82</v>
      </c>
      <c r="Q90" s="10" t="s">
        <v>201</v>
      </c>
      <c r="R90" s="10"/>
      <c r="S90" s="10" t="s">
        <v>202</v>
      </c>
      <c r="T90" s="10">
        <v>0.39574999999999999</v>
      </c>
      <c r="U90" s="10">
        <v>823</v>
      </c>
      <c r="V90" s="17">
        <v>11.35</v>
      </c>
      <c r="X90">
        <f t="shared" si="2"/>
        <v>0.71296029401167393</v>
      </c>
    </row>
    <row r="91" spans="16:24" x14ac:dyDescent="0.55000000000000004">
      <c r="P91" s="10">
        <v>83</v>
      </c>
      <c r="Q91" s="10" t="s">
        <v>203</v>
      </c>
      <c r="R91" s="10"/>
      <c r="S91" s="10" t="s">
        <v>204</v>
      </c>
      <c r="T91" s="10">
        <v>0.39717000000000002</v>
      </c>
      <c r="U91" s="10">
        <v>823</v>
      </c>
      <c r="V91" s="17">
        <v>9.7469999999999999</v>
      </c>
      <c r="X91">
        <f t="shared" si="2"/>
        <v>0.71551848382215177</v>
      </c>
    </row>
    <row r="92" spans="16:24" x14ac:dyDescent="0.55000000000000004">
      <c r="P92" s="10">
        <v>84</v>
      </c>
      <c r="Q92" s="10" t="s">
        <v>205</v>
      </c>
      <c r="R92" s="10"/>
      <c r="S92" s="10" t="s">
        <v>206</v>
      </c>
      <c r="T92" s="10">
        <v>0.40194999999999997</v>
      </c>
      <c r="U92" s="10">
        <v>830</v>
      </c>
      <c r="V92" s="17">
        <v>9.32</v>
      </c>
      <c r="X92">
        <f t="shared" si="2"/>
        <v>0.72412985515601347</v>
      </c>
    </row>
    <row r="93" spans="16:24" x14ac:dyDescent="0.55000000000000004">
      <c r="P93" s="10">
        <v>85</v>
      </c>
      <c r="Q93" s="10" t="s">
        <v>207</v>
      </c>
      <c r="R93" s="10"/>
      <c r="S93" s="10" t="s">
        <v>208</v>
      </c>
      <c r="T93" s="10">
        <v>0.40478999999999998</v>
      </c>
      <c r="U93" s="10">
        <v>825</v>
      </c>
      <c r="V93" s="17">
        <v>10</v>
      </c>
      <c r="X93">
        <f t="shared" si="2"/>
        <v>0.72924623477696904</v>
      </c>
    </row>
    <row r="94" spans="16:24" x14ac:dyDescent="0.55000000000000004">
      <c r="P94" s="10">
        <v>86</v>
      </c>
      <c r="Q94" s="10" t="s">
        <v>209</v>
      </c>
      <c r="R94" s="10"/>
      <c r="S94" s="10" t="s">
        <v>210</v>
      </c>
      <c r="T94" s="10">
        <v>0.38735999999999998</v>
      </c>
      <c r="U94" s="10">
        <v>794</v>
      </c>
      <c r="V94" s="17">
        <v>9.0659999999999994E-3</v>
      </c>
      <c r="X94">
        <f t="shared" si="2"/>
        <v>0.69784535562441441</v>
      </c>
    </row>
    <row r="95" spans="16:24" x14ac:dyDescent="0.55000000000000004">
      <c r="P95" s="10">
        <v>87</v>
      </c>
      <c r="Q95" s="10" t="s">
        <v>211</v>
      </c>
      <c r="R95" s="10"/>
      <c r="S95" s="10" t="s">
        <v>212</v>
      </c>
      <c r="T95" s="10">
        <v>0.3901</v>
      </c>
      <c r="U95" s="10">
        <v>827</v>
      </c>
      <c r="V95" s="17">
        <v>10</v>
      </c>
      <c r="X95">
        <f t="shared" si="2"/>
        <v>0.70278158103336452</v>
      </c>
    </row>
    <row r="96" spans="16:24" x14ac:dyDescent="0.55000000000000004">
      <c r="P96" s="10">
        <v>88</v>
      </c>
      <c r="Q96" s="10" t="s">
        <v>213</v>
      </c>
      <c r="R96" s="10"/>
      <c r="S96" s="10" t="s">
        <v>214</v>
      </c>
      <c r="T96" s="10">
        <v>0.38934000000000002</v>
      </c>
      <c r="U96" s="10">
        <v>826</v>
      </c>
      <c r="V96" s="17">
        <v>5</v>
      </c>
      <c r="X96">
        <f t="shared" si="2"/>
        <v>0.70141240902212298</v>
      </c>
    </row>
    <row r="97" spans="16:24" x14ac:dyDescent="0.55000000000000004">
      <c r="P97" s="10">
        <v>89</v>
      </c>
      <c r="Q97" s="10" t="s">
        <v>215</v>
      </c>
      <c r="R97" s="10"/>
      <c r="S97" s="10" t="s">
        <v>216</v>
      </c>
      <c r="T97" s="10">
        <v>0.39201999999999998</v>
      </c>
      <c r="U97" s="10">
        <v>841</v>
      </c>
      <c r="V97" s="17">
        <v>10.07</v>
      </c>
      <c r="X97">
        <f t="shared" si="2"/>
        <v>0.70624054190386965</v>
      </c>
    </row>
    <row r="98" spans="16:24" x14ac:dyDescent="0.55000000000000004">
      <c r="P98" s="10">
        <v>90</v>
      </c>
      <c r="Q98" s="10" t="s">
        <v>217</v>
      </c>
      <c r="R98" s="10"/>
      <c r="S98" s="10" t="s">
        <v>218</v>
      </c>
      <c r="T98" s="10">
        <v>0.38786999999999999</v>
      </c>
      <c r="U98" s="10">
        <v>847</v>
      </c>
      <c r="V98" s="17">
        <v>11.72</v>
      </c>
      <c r="X98">
        <f t="shared" si="2"/>
        <v>0.69876414210564242</v>
      </c>
    </row>
    <row r="99" spans="16:24" ht="28.8" x14ac:dyDescent="0.55000000000000004">
      <c r="P99" s="10">
        <v>91</v>
      </c>
      <c r="Q99" s="10" t="s">
        <v>219</v>
      </c>
      <c r="R99" s="10"/>
      <c r="S99" s="10" t="s">
        <v>220</v>
      </c>
      <c r="T99" s="10">
        <v>0.39388000000000001</v>
      </c>
      <c r="U99" s="10">
        <v>878</v>
      </c>
      <c r="V99" s="17">
        <v>15.37</v>
      </c>
      <c r="X99">
        <f t="shared" si="2"/>
        <v>0.70959141024717154</v>
      </c>
    </row>
    <row r="100" spans="16:24" x14ac:dyDescent="0.55000000000000004">
      <c r="P100" s="10">
        <v>92</v>
      </c>
      <c r="Q100" s="10" t="s">
        <v>221</v>
      </c>
      <c r="R100" s="10"/>
      <c r="S100" s="10" t="s">
        <v>222</v>
      </c>
      <c r="T100" s="10">
        <v>0.38651000000000002</v>
      </c>
      <c r="U100" s="10">
        <v>890</v>
      </c>
      <c r="V100" s="17">
        <v>18.95</v>
      </c>
      <c r="X100">
        <f t="shared" si="2"/>
        <v>0.69631404482236792</v>
      </c>
    </row>
    <row r="101" spans="16:24" x14ac:dyDescent="0.55000000000000004">
      <c r="P101" s="10">
        <v>93</v>
      </c>
      <c r="Q101" s="25" t="s">
        <v>279</v>
      </c>
      <c r="R101" s="26"/>
      <c r="S101" s="26" t="s">
        <v>223</v>
      </c>
      <c r="T101" s="26">
        <v>0.55508000000000002</v>
      </c>
      <c r="U101" s="26">
        <v>75</v>
      </c>
      <c r="V101" s="26">
        <v>1</v>
      </c>
      <c r="W101" s="26"/>
      <c r="X101" s="26">
        <f t="shared" si="2"/>
        <v>1</v>
      </c>
    </row>
    <row r="102" spans="16:24" x14ac:dyDescent="0.55000000000000004">
      <c r="P102" s="20"/>
    </row>
    <row r="103" spans="16:24" x14ac:dyDescent="0.55000000000000004">
      <c r="P103" s="20"/>
    </row>
    <row r="104" spans="16:24" x14ac:dyDescent="0.55000000000000004">
      <c r="P104" s="20"/>
    </row>
    <row r="105" spans="16:24" x14ac:dyDescent="0.55000000000000004">
      <c r="P105" s="20"/>
    </row>
    <row r="106" spans="16:24" x14ac:dyDescent="0.55000000000000004">
      <c r="P106" s="20" t="s">
        <v>30</v>
      </c>
    </row>
    <row r="107" spans="16:24" x14ac:dyDescent="0.55000000000000004">
      <c r="P107" s="20"/>
    </row>
    <row r="108" spans="16:24" x14ac:dyDescent="0.55000000000000004">
      <c r="P108" s="20" t="s">
        <v>224</v>
      </c>
    </row>
    <row r="109" spans="16:24" x14ac:dyDescent="0.55000000000000004">
      <c r="P109" s="20" t="s">
        <v>225</v>
      </c>
    </row>
    <row r="110" spans="16:24" x14ac:dyDescent="0.55000000000000004">
      <c r="P110" s="20"/>
      <c r="S110" s="20" t="s">
        <v>226</v>
      </c>
      <c r="T110" t="s">
        <v>227</v>
      </c>
      <c r="U110" t="s">
        <v>36</v>
      </c>
      <c r="V110" s="21" t="s">
        <v>37</v>
      </c>
      <c r="W110" t="s">
        <v>228</v>
      </c>
    </row>
    <row r="111" spans="16:24" x14ac:dyDescent="0.55000000000000004">
      <c r="P111" s="20"/>
      <c r="S111" s="20"/>
      <c r="U111" t="s">
        <v>38</v>
      </c>
      <c r="V111" s="21" t="s">
        <v>229</v>
      </c>
      <c r="W111" s="21" t="s">
        <v>230</v>
      </c>
      <c r="X111" t="s">
        <v>231</v>
      </c>
    </row>
    <row r="112" spans="16:24" x14ac:dyDescent="0.55000000000000004">
      <c r="P112" s="20"/>
      <c r="S112" s="20" t="s">
        <v>223</v>
      </c>
      <c r="T112">
        <v>0.55508000000000002</v>
      </c>
      <c r="U112">
        <v>75</v>
      </c>
      <c r="V112">
        <v>1</v>
      </c>
      <c r="W112">
        <v>1</v>
      </c>
      <c r="X112">
        <v>0.111898</v>
      </c>
    </row>
    <row r="113" spans="16:24" x14ac:dyDescent="0.55000000000000004">
      <c r="P113" s="20"/>
      <c r="S113" s="20"/>
      <c r="W113">
        <v>8</v>
      </c>
      <c r="X113">
        <v>0.88810199999999995</v>
      </c>
    </row>
    <row r="114" spans="16:24" x14ac:dyDescent="0.55000000000000004">
      <c r="P114" s="20"/>
      <c r="S114" s="20"/>
    </row>
    <row r="115" spans="16:24" x14ac:dyDescent="0.55000000000000004">
      <c r="P115" s="20"/>
      <c r="S115" s="20" t="s">
        <v>232</v>
      </c>
      <c r="T115">
        <v>0.53876000000000002</v>
      </c>
      <c r="U115">
        <v>71.900000000000006</v>
      </c>
      <c r="V115" s="22">
        <v>1.4239999999999999</v>
      </c>
      <c r="W115">
        <v>1</v>
      </c>
      <c r="X115">
        <v>7.9191999999999999E-2</v>
      </c>
    </row>
    <row r="116" spans="16:24" x14ac:dyDescent="0.55000000000000004">
      <c r="P116" s="20"/>
      <c r="S116" s="20"/>
      <c r="W116">
        <v>6</v>
      </c>
      <c r="X116">
        <v>0.40443699999999999</v>
      </c>
    </row>
    <row r="117" spans="16:24" x14ac:dyDescent="0.55000000000000004">
      <c r="P117" s="20"/>
      <c r="S117" s="20"/>
      <c r="W117">
        <v>7</v>
      </c>
      <c r="X117">
        <v>0.15721299999999999</v>
      </c>
    </row>
    <row r="118" spans="16:24" x14ac:dyDescent="0.55000000000000004">
      <c r="P118" s="20"/>
      <c r="S118" s="20"/>
      <c r="W118">
        <v>8</v>
      </c>
      <c r="X118">
        <v>0.359157</v>
      </c>
    </row>
    <row r="119" spans="16:24" x14ac:dyDescent="0.55000000000000004">
      <c r="P119" s="20"/>
      <c r="S119" s="20" t="s">
        <v>233</v>
      </c>
      <c r="T119">
        <v>0.49919000000000002</v>
      </c>
      <c r="U119">
        <v>85.7</v>
      </c>
      <c r="V119" s="23">
        <v>1.2049999999999999E-3</v>
      </c>
      <c r="W119">
        <v>6</v>
      </c>
      <c r="X119">
        <v>1.2400000000000001E-4</v>
      </c>
    </row>
    <row r="120" spans="16:24" x14ac:dyDescent="0.55000000000000004">
      <c r="P120" s="20"/>
      <c r="S120" s="20"/>
      <c r="V120" s="22"/>
      <c r="W120">
        <v>7</v>
      </c>
      <c r="X120">
        <v>0.75526800000000005</v>
      </c>
    </row>
    <row r="121" spans="16:24" x14ac:dyDescent="0.55000000000000004">
      <c r="P121" s="20"/>
      <c r="S121" s="20"/>
      <c r="V121" s="22"/>
      <c r="W121">
        <v>8</v>
      </c>
      <c r="X121">
        <v>0.23178099999999999</v>
      </c>
    </row>
    <row r="122" spans="16:24" x14ac:dyDescent="0.55000000000000004">
      <c r="P122" s="20"/>
      <c r="S122" s="20"/>
      <c r="V122" s="22"/>
      <c r="W122">
        <v>18</v>
      </c>
      <c r="X122">
        <v>1.2827E-2</v>
      </c>
    </row>
    <row r="123" spans="16:24" x14ac:dyDescent="0.55000000000000004">
      <c r="P123" s="20"/>
      <c r="S123" s="20"/>
      <c r="V123" s="22"/>
    </row>
    <row r="124" spans="16:24" x14ac:dyDescent="0.55000000000000004">
      <c r="P124" s="20"/>
      <c r="S124" s="20"/>
      <c r="V124" s="22"/>
    </row>
    <row r="125" spans="16:24" x14ac:dyDescent="0.55000000000000004">
      <c r="P125" s="20"/>
      <c r="S125" s="20"/>
      <c r="V125" s="22"/>
    </row>
    <row r="126" spans="16:24" x14ac:dyDescent="0.55000000000000004">
      <c r="P126" s="20"/>
      <c r="S126" s="20" t="s">
        <v>234</v>
      </c>
      <c r="T126">
        <v>0.52791999999999994</v>
      </c>
      <c r="U126">
        <v>72.400000000000006</v>
      </c>
      <c r="V126" s="22">
        <v>1.25</v>
      </c>
      <c r="W126">
        <v>1</v>
      </c>
      <c r="X126">
        <v>5.7444000000000002E-2</v>
      </c>
    </row>
    <row r="127" spans="16:24" x14ac:dyDescent="0.55000000000000004">
      <c r="P127" s="20"/>
      <c r="S127" s="20"/>
      <c r="V127" s="22"/>
      <c r="W127">
        <v>6</v>
      </c>
      <c r="X127">
        <v>0.77458899999999997</v>
      </c>
    </row>
    <row r="128" spans="16:24" x14ac:dyDescent="0.55000000000000004">
      <c r="P128" s="20"/>
      <c r="S128" s="20"/>
      <c r="V128" s="22"/>
      <c r="W128">
        <v>8</v>
      </c>
      <c r="X128">
        <v>0.16796800000000001</v>
      </c>
    </row>
    <row r="129" spans="16:19" x14ac:dyDescent="0.55000000000000004">
      <c r="P129" s="20"/>
      <c r="S129" s="20" t="s">
        <v>235</v>
      </c>
    </row>
    <row r="130" spans="16:19" x14ac:dyDescent="0.55000000000000004">
      <c r="P130" s="20"/>
      <c r="S130" s="20" t="s">
        <v>236</v>
      </c>
    </row>
    <row r="131" spans="16:19" x14ac:dyDescent="0.55000000000000004">
      <c r="P131" s="20"/>
      <c r="S131" s="20" t="s">
        <v>237</v>
      </c>
    </row>
    <row r="132" spans="16:19" x14ac:dyDescent="0.55000000000000004">
      <c r="P132" s="20"/>
      <c r="S132" s="20" t="s">
        <v>238</v>
      </c>
    </row>
    <row r="133" spans="16:19" x14ac:dyDescent="0.55000000000000004">
      <c r="P133" s="20"/>
      <c r="S133" s="20" t="s">
        <v>239</v>
      </c>
    </row>
    <row r="134" spans="16:19" x14ac:dyDescent="0.55000000000000004">
      <c r="P134" s="20"/>
      <c r="S134" s="20" t="s">
        <v>240</v>
      </c>
    </row>
    <row r="135" spans="16:19" x14ac:dyDescent="0.55000000000000004">
      <c r="P135" s="20"/>
      <c r="S135" s="20" t="s">
        <v>241</v>
      </c>
    </row>
    <row r="136" spans="16:19" x14ac:dyDescent="0.55000000000000004">
      <c r="P136" s="20"/>
    </row>
    <row r="137" spans="16:19" x14ac:dyDescent="0.55000000000000004">
      <c r="P137" s="20"/>
    </row>
    <row r="138" spans="16:19" x14ac:dyDescent="0.55000000000000004">
      <c r="P138" s="20"/>
    </row>
    <row r="139" spans="16:19" x14ac:dyDescent="0.55000000000000004">
      <c r="P139" s="20"/>
    </row>
    <row r="140" spans="16:19" x14ac:dyDescent="0.55000000000000004">
      <c r="P140" s="20"/>
    </row>
    <row r="141" spans="16:19" x14ac:dyDescent="0.55000000000000004">
      <c r="P141" s="20"/>
    </row>
    <row r="142" spans="16:19" x14ac:dyDescent="0.55000000000000004">
      <c r="P142" s="20"/>
    </row>
    <row r="143" spans="16:19" x14ac:dyDescent="0.55000000000000004">
      <c r="P143" s="20"/>
    </row>
    <row r="144" spans="16:19" x14ac:dyDescent="0.55000000000000004">
      <c r="P144" s="20"/>
    </row>
    <row r="145" spans="16:24" x14ac:dyDescent="0.55000000000000004">
      <c r="P145" s="20"/>
    </row>
    <row r="146" spans="16:24" x14ac:dyDescent="0.55000000000000004">
      <c r="P146" s="20"/>
    </row>
    <row r="147" spans="16:24" x14ac:dyDescent="0.55000000000000004">
      <c r="P147" s="20"/>
    </row>
    <row r="148" spans="16:24" x14ac:dyDescent="0.55000000000000004">
      <c r="P148" s="20"/>
    </row>
    <row r="149" spans="16:24" x14ac:dyDescent="0.55000000000000004">
      <c r="P149" s="20" t="s">
        <v>226</v>
      </c>
      <c r="R149" t="s">
        <v>227</v>
      </c>
      <c r="T149" t="s">
        <v>36</v>
      </c>
      <c r="V149" t="s">
        <v>37</v>
      </c>
      <c r="X149" t="s">
        <v>228</v>
      </c>
    </row>
    <row r="150" spans="16:24" x14ac:dyDescent="0.55000000000000004">
      <c r="P150" s="20"/>
      <c r="T150" t="s">
        <v>38</v>
      </c>
      <c r="V150" t="s">
        <v>229</v>
      </c>
      <c r="X150" t="s">
        <v>242</v>
      </c>
    </row>
    <row r="151" spans="16:24" x14ac:dyDescent="0.55000000000000004">
      <c r="P151" s="20"/>
      <c r="X151" t="s">
        <v>243</v>
      </c>
    </row>
    <row r="152" spans="16:24" x14ac:dyDescent="0.55000000000000004">
      <c r="P152" s="20" t="s">
        <v>233</v>
      </c>
      <c r="R152">
        <v>0.49919000000000002</v>
      </c>
      <c r="T152">
        <v>85.7</v>
      </c>
      <c r="V152" s="22">
        <v>1.2049999999999999E-3</v>
      </c>
      <c r="X152" s="24">
        <v>4.1666666666666666E-3</v>
      </c>
    </row>
    <row r="153" spans="16:24" x14ac:dyDescent="0.55000000000000004">
      <c r="P153" s="20"/>
      <c r="X153" s="24">
        <v>4.8698495370370371E-3</v>
      </c>
    </row>
    <row r="154" spans="16:24" x14ac:dyDescent="0.55000000000000004">
      <c r="P154" s="20"/>
      <c r="X154" s="24">
        <v>5.5582407407407412E-3</v>
      </c>
    </row>
    <row r="155" spans="16:24" x14ac:dyDescent="0.55000000000000004">
      <c r="P155" s="20"/>
      <c r="X155" s="24">
        <v>1.2500150462962963E-2</v>
      </c>
    </row>
    <row r="156" spans="16:24" x14ac:dyDescent="0.55000000000000004">
      <c r="P156" s="20" t="s">
        <v>232</v>
      </c>
      <c r="R156">
        <v>0.53876000000000002</v>
      </c>
      <c r="T156">
        <v>71.900000000000006</v>
      </c>
      <c r="V156" s="22">
        <v>1.4239999999999999</v>
      </c>
      <c r="X156" s="24">
        <v>6.9535879629629624E-4</v>
      </c>
    </row>
    <row r="157" spans="16:24" x14ac:dyDescent="0.55000000000000004">
      <c r="P157" s="20"/>
      <c r="X157" s="24">
        <v>4.1713425925925919E-3</v>
      </c>
    </row>
    <row r="158" spans="16:24" x14ac:dyDescent="0.55000000000000004">
      <c r="P158" s="20"/>
      <c r="X158" s="24">
        <v>4.8629282407407406E-3</v>
      </c>
    </row>
    <row r="159" spans="16:24" x14ac:dyDescent="0.55000000000000004">
      <c r="P159" s="20"/>
      <c r="X159" s="24">
        <v>5.5597106481481478E-3</v>
      </c>
    </row>
    <row r="160" spans="16:24" x14ac:dyDescent="0.55000000000000004">
      <c r="P160" s="20" t="s">
        <v>244</v>
      </c>
      <c r="R160">
        <v>0.52739999999999998</v>
      </c>
      <c r="T160">
        <v>85.9</v>
      </c>
      <c r="V160" s="22">
        <v>1.45</v>
      </c>
      <c r="X160" s="24">
        <v>6.9519675925925923E-4</v>
      </c>
    </row>
    <row r="161" spans="16:24" x14ac:dyDescent="0.55000000000000004">
      <c r="P161" s="20"/>
      <c r="X161" s="24">
        <v>4.1728819444444443E-3</v>
      </c>
    </row>
    <row r="162" spans="16:24" x14ac:dyDescent="0.55000000000000004">
      <c r="P162" s="20"/>
      <c r="X162" s="24">
        <v>4.8613657407407408E-3</v>
      </c>
    </row>
    <row r="163" spans="16:24" x14ac:dyDescent="0.55000000000000004">
      <c r="P163" s="20"/>
      <c r="X163" s="24">
        <v>5.555925925925926E-3</v>
      </c>
    </row>
    <row r="164" spans="16:24" x14ac:dyDescent="0.55000000000000004">
      <c r="P164" s="20"/>
      <c r="X164" s="24">
        <v>6.2519328703703704E-3</v>
      </c>
    </row>
    <row r="165" spans="16:24" x14ac:dyDescent="0.55000000000000004">
      <c r="P165" s="20"/>
      <c r="X165" s="24">
        <v>1.3890937499999999E-2</v>
      </c>
    </row>
    <row r="166" spans="16:24" x14ac:dyDescent="0.55000000000000004">
      <c r="P166" s="20" t="s">
        <v>234</v>
      </c>
      <c r="R166">
        <v>0.52791999999999994</v>
      </c>
      <c r="T166">
        <v>72.400000000000006</v>
      </c>
      <c r="V166" s="22">
        <v>1.25</v>
      </c>
      <c r="X166" s="24">
        <v>6.9510416666666668E-4</v>
      </c>
    </row>
    <row r="167" spans="16:24" x14ac:dyDescent="0.55000000000000004">
      <c r="P167" s="20"/>
      <c r="X167" s="24">
        <v>4.1756365740740738E-3</v>
      </c>
    </row>
    <row r="168" spans="16:24" x14ac:dyDescent="0.55000000000000004">
      <c r="P168" s="20"/>
      <c r="X168" s="24">
        <v>5.5574999999999999E-3</v>
      </c>
    </row>
    <row r="169" spans="16:24" x14ac:dyDescent="0.55000000000000004">
      <c r="P169" s="20" t="s">
        <v>245</v>
      </c>
      <c r="R169">
        <v>0.54998999999999998</v>
      </c>
      <c r="T169">
        <v>75.2</v>
      </c>
      <c r="V169" s="22">
        <v>1.06</v>
      </c>
      <c r="X169" s="24">
        <v>6.9562500000000006E-4</v>
      </c>
    </row>
    <row r="170" spans="16:24" x14ac:dyDescent="0.55000000000000004">
      <c r="P170" s="20"/>
      <c r="X170" s="24">
        <v>4.1679398148148144E-3</v>
      </c>
    </row>
    <row r="171" spans="16:24" x14ac:dyDescent="0.55000000000000004">
      <c r="P171" s="20"/>
      <c r="X171" s="24">
        <v>4.8614930555555555E-3</v>
      </c>
    </row>
    <row r="172" spans="16:24" x14ac:dyDescent="0.55000000000000004">
      <c r="P172" s="20"/>
      <c r="X172" s="24">
        <v>5.5641782407407402E-3</v>
      </c>
    </row>
    <row r="173" spans="16:24" x14ac:dyDescent="0.55000000000000004">
      <c r="P173" s="20"/>
      <c r="X173" s="24">
        <v>7.6389004629629637E-3</v>
      </c>
    </row>
    <row r="174" spans="16:24" x14ac:dyDescent="0.55000000000000004">
      <c r="P174" s="20"/>
      <c r="X174" s="24">
        <v>1.041667824074074E-2</v>
      </c>
    </row>
    <row r="175" spans="16:24" x14ac:dyDescent="0.55000000000000004">
      <c r="P175" s="20"/>
      <c r="X175" s="24">
        <v>1.111113425925926E-2</v>
      </c>
    </row>
    <row r="176" spans="16:24" x14ac:dyDescent="0.55000000000000004">
      <c r="P176" s="20"/>
      <c r="X176" s="24">
        <v>1.1805590277777779E-2</v>
      </c>
    </row>
    <row r="177" spans="16:24" x14ac:dyDescent="0.55000000000000004">
      <c r="P177" s="20"/>
      <c r="X177" s="24">
        <v>1.3194467592592594E-2</v>
      </c>
    </row>
    <row r="178" spans="16:24" x14ac:dyDescent="0.55000000000000004">
      <c r="P178" s="20"/>
      <c r="X178" s="24">
        <v>1.8055567129629631E-2</v>
      </c>
    </row>
    <row r="179" spans="16:24" x14ac:dyDescent="0.55000000000000004">
      <c r="P179" s="20" t="s">
        <v>246</v>
      </c>
      <c r="R179">
        <v>0.51478000000000002</v>
      </c>
      <c r="T179">
        <v>112</v>
      </c>
      <c r="V179" s="22">
        <v>1.92</v>
      </c>
      <c r="X179" s="24">
        <v>6.9483796296296297E-4</v>
      </c>
    </row>
    <row r="180" spans="16:24" x14ac:dyDescent="0.55000000000000004">
      <c r="P180" s="20"/>
      <c r="X180" s="24">
        <v>4.1684606481481477E-3</v>
      </c>
    </row>
    <row r="181" spans="16:24" x14ac:dyDescent="0.55000000000000004">
      <c r="P181" s="20"/>
      <c r="X181" s="24">
        <v>4.8615972222222229E-3</v>
      </c>
    </row>
    <row r="182" spans="16:24" x14ac:dyDescent="0.55000000000000004">
      <c r="P182" s="20"/>
      <c r="X182" s="24">
        <v>5.560590277777778E-3</v>
      </c>
    </row>
    <row r="183" spans="16:24" x14ac:dyDescent="0.55000000000000004">
      <c r="P183" s="20"/>
      <c r="X183" s="24">
        <v>7.6389004629629637E-3</v>
      </c>
    </row>
    <row r="184" spans="16:24" x14ac:dyDescent="0.55000000000000004">
      <c r="P184" s="20"/>
      <c r="X184" s="24">
        <v>8.3333564814814815E-3</v>
      </c>
    </row>
    <row r="185" spans="16:24" x14ac:dyDescent="0.55000000000000004">
      <c r="P185" s="20"/>
      <c r="X185" s="24">
        <v>1.0417858796296297E-2</v>
      </c>
    </row>
    <row r="186" spans="16:24" x14ac:dyDescent="0.55000000000000004">
      <c r="P186" s="20"/>
      <c r="X186" s="24">
        <v>1.1111145833333334E-2</v>
      </c>
    </row>
    <row r="187" spans="16:24" x14ac:dyDescent="0.55000000000000004">
      <c r="P187" s="20"/>
      <c r="X187" s="24">
        <v>1.3891493055555556E-2</v>
      </c>
    </row>
    <row r="188" spans="16:24" x14ac:dyDescent="0.55000000000000004">
      <c r="P188" s="20" t="s">
        <v>247</v>
      </c>
      <c r="R188">
        <v>0.55239000000000005</v>
      </c>
      <c r="T188">
        <v>73.900000000000006</v>
      </c>
      <c r="V188" s="22">
        <v>1.04</v>
      </c>
      <c r="X188" s="24">
        <v>6.9568287037037038E-4</v>
      </c>
    </row>
    <row r="189" spans="16:24" x14ac:dyDescent="0.55000000000000004">
      <c r="P189" s="20"/>
      <c r="X189" s="24">
        <v>4.1683449074074079E-3</v>
      </c>
    </row>
    <row r="190" spans="16:24" x14ac:dyDescent="0.55000000000000004">
      <c r="P190" s="20"/>
      <c r="X190" s="24">
        <v>4.8613657407407408E-3</v>
      </c>
    </row>
    <row r="191" spans="16:24" x14ac:dyDescent="0.55000000000000004">
      <c r="P191" s="20"/>
      <c r="X191" s="24">
        <v>5.5637962962962959E-3</v>
      </c>
    </row>
    <row r="192" spans="16:24" x14ac:dyDescent="0.55000000000000004">
      <c r="P192" s="20"/>
      <c r="X192" s="24">
        <v>7.6389120370370369E-3</v>
      </c>
    </row>
    <row r="193" spans="16:24" x14ac:dyDescent="0.55000000000000004">
      <c r="P193" s="20"/>
      <c r="X193" s="24">
        <v>1.0416712962962963E-2</v>
      </c>
    </row>
    <row r="194" spans="16:24" x14ac:dyDescent="0.55000000000000004">
      <c r="P194" s="20"/>
      <c r="X194" s="24">
        <v>1.111113425925926E-2</v>
      </c>
    </row>
    <row r="195" spans="16:24" x14ac:dyDescent="0.55000000000000004">
      <c r="P195" s="20"/>
      <c r="X195" s="24">
        <v>1.1805590277777779E-2</v>
      </c>
    </row>
    <row r="196" spans="16:24" x14ac:dyDescent="0.55000000000000004">
      <c r="P196" s="20"/>
      <c r="X196" s="24">
        <v>1.3194479166666669E-2</v>
      </c>
    </row>
    <row r="197" spans="16:24" x14ac:dyDescent="0.55000000000000004">
      <c r="P197" s="20" t="s">
        <v>248</v>
      </c>
      <c r="R197">
        <v>0.55196000000000001</v>
      </c>
      <c r="T197">
        <v>70.3</v>
      </c>
      <c r="V197" s="22">
        <v>1.02</v>
      </c>
      <c r="X197" s="24">
        <v>6.9567129629629634E-4</v>
      </c>
    </row>
    <row r="198" spans="16:24" x14ac:dyDescent="0.55000000000000004">
      <c r="P198" s="20"/>
      <c r="X198" s="24">
        <v>4.1705092592592592E-3</v>
      </c>
    </row>
    <row r="199" spans="16:24" x14ac:dyDescent="0.55000000000000004">
      <c r="P199" s="20"/>
      <c r="X199" s="24">
        <v>4.8614583333333331E-3</v>
      </c>
    </row>
    <row r="200" spans="16:24" x14ac:dyDescent="0.55000000000000004">
      <c r="P200" s="20"/>
      <c r="X200" s="24">
        <v>5.5616550925925929E-3</v>
      </c>
    </row>
    <row r="201" spans="16:24" x14ac:dyDescent="0.55000000000000004">
      <c r="P201" s="20"/>
      <c r="X201" s="24">
        <v>7.6389004629629637E-3</v>
      </c>
    </row>
    <row r="202" spans="16:24" x14ac:dyDescent="0.55000000000000004">
      <c r="P202" s="20"/>
      <c r="X202" s="24">
        <v>1.041667824074074E-2</v>
      </c>
    </row>
    <row r="203" spans="16:24" x14ac:dyDescent="0.55000000000000004">
      <c r="P203" s="20"/>
      <c r="X203" s="24">
        <v>1.111113425925926E-2</v>
      </c>
    </row>
    <row r="204" spans="16:24" x14ac:dyDescent="0.55000000000000004">
      <c r="P204" s="20"/>
      <c r="X204" s="24">
        <v>1.1805567129629629E-2</v>
      </c>
    </row>
    <row r="205" spans="16:24" x14ac:dyDescent="0.55000000000000004">
      <c r="P205" s="20" t="s">
        <v>235</v>
      </c>
      <c r="R205">
        <v>0.49969000000000002</v>
      </c>
      <c r="T205">
        <v>86.8</v>
      </c>
      <c r="V205" s="22">
        <v>1.76</v>
      </c>
      <c r="X205" s="24">
        <v>6.9473379629629627E-4</v>
      </c>
    </row>
    <row r="206" spans="16:24" x14ac:dyDescent="0.55000000000000004">
      <c r="P206" s="20"/>
      <c r="X206" s="24">
        <v>4.1724768518518517E-3</v>
      </c>
    </row>
    <row r="207" spans="16:24" x14ac:dyDescent="0.55000000000000004">
      <c r="P207" s="20"/>
      <c r="X207" s="24">
        <v>5.5556134259259248E-3</v>
      </c>
    </row>
    <row r="208" spans="16:24" x14ac:dyDescent="0.55000000000000004">
      <c r="P208" s="20"/>
      <c r="X208" s="24">
        <v>6.2553819444444445E-3</v>
      </c>
    </row>
    <row r="209" spans="16:24" x14ac:dyDescent="0.55000000000000004">
      <c r="P209" s="20"/>
      <c r="X209" s="24">
        <v>9.722268518518519E-3</v>
      </c>
    </row>
    <row r="210" spans="16:24" x14ac:dyDescent="0.55000000000000004">
      <c r="P210" s="20" t="s">
        <v>249</v>
      </c>
      <c r="R210">
        <v>0.41665000000000002</v>
      </c>
      <c r="T210">
        <v>539.29999999999995</v>
      </c>
      <c r="V210" s="22">
        <v>6.2</v>
      </c>
      <c r="X210" s="24">
        <v>3.333875E-2</v>
      </c>
    </row>
    <row r="211" spans="16:24" x14ac:dyDescent="0.55000000000000004">
      <c r="P211" s="20"/>
      <c r="X211" s="24">
        <v>3.6117268518518521E-2</v>
      </c>
    </row>
    <row r="212" spans="16:24" x14ac:dyDescent="0.55000000000000004">
      <c r="P212" s="20" t="s">
        <v>250</v>
      </c>
      <c r="R212">
        <v>0.48670999999999998</v>
      </c>
      <c r="T212">
        <v>166</v>
      </c>
      <c r="V212" s="22">
        <v>3.18</v>
      </c>
      <c r="X212" s="24">
        <v>6.2556365740740741E-3</v>
      </c>
    </row>
    <row r="213" spans="16:24" x14ac:dyDescent="0.55000000000000004">
      <c r="P213" s="20"/>
      <c r="X213" s="24">
        <v>1.3894826388888887E-2</v>
      </c>
    </row>
    <row r="214" spans="16:24" x14ac:dyDescent="0.55000000000000004">
      <c r="P214" s="20" t="s">
        <v>251</v>
      </c>
      <c r="R214">
        <v>0.49947999999999998</v>
      </c>
      <c r="T214">
        <v>152.30000000000001</v>
      </c>
      <c r="V214" s="22">
        <v>2.96</v>
      </c>
      <c r="X214" s="24">
        <v>5.5609953703703715E-3</v>
      </c>
    </row>
    <row r="215" spans="16:24" x14ac:dyDescent="0.55000000000000004">
      <c r="P215" s="20"/>
      <c r="X215" s="24">
        <v>1.1113842592592592E-2</v>
      </c>
    </row>
    <row r="216" spans="16:24" x14ac:dyDescent="0.55000000000000004">
      <c r="P216" s="20"/>
      <c r="X216" s="24">
        <v>1.3892291666666666E-2</v>
      </c>
    </row>
    <row r="217" spans="16:24" x14ac:dyDescent="0.55000000000000004">
      <c r="P217" s="20" t="s">
        <v>252</v>
      </c>
      <c r="R217">
        <v>0.55281999999999998</v>
      </c>
      <c r="T217">
        <v>76.7</v>
      </c>
      <c r="V217" s="22">
        <v>1.03</v>
      </c>
      <c r="X217" s="24">
        <v>6.9569444444444453E-4</v>
      </c>
    </row>
    <row r="218" spans="16:24" x14ac:dyDescent="0.55000000000000004">
      <c r="P218" s="20"/>
      <c r="X218" s="24">
        <v>4.8611226851851845E-3</v>
      </c>
    </row>
    <row r="219" spans="16:24" x14ac:dyDescent="0.55000000000000004">
      <c r="P219" s="20"/>
      <c r="X219" s="24">
        <v>5.5656828703703693E-3</v>
      </c>
    </row>
    <row r="220" spans="16:24" x14ac:dyDescent="0.55000000000000004">
      <c r="P220" s="20"/>
      <c r="X220" s="24">
        <v>1.111127314814815E-2</v>
      </c>
    </row>
    <row r="221" spans="16:24" x14ac:dyDescent="0.55000000000000004">
      <c r="P221" s="20"/>
      <c r="X221" s="24">
        <v>4.0277800925925929E-2</v>
      </c>
    </row>
    <row r="222" spans="16:24" x14ac:dyDescent="0.55000000000000004">
      <c r="P222" s="20" t="s">
        <v>253</v>
      </c>
      <c r="R222">
        <v>0.41569</v>
      </c>
      <c r="T222">
        <v>553.1</v>
      </c>
      <c r="V222" s="22">
        <v>4.51</v>
      </c>
      <c r="X222" s="24">
        <v>3.68112037037037E-2</v>
      </c>
    </row>
    <row r="223" spans="16:24" x14ac:dyDescent="0.55000000000000004">
      <c r="P223" s="20"/>
      <c r="X223" s="24">
        <v>3.8200370370370371E-2</v>
      </c>
    </row>
    <row r="224" spans="16:24" x14ac:dyDescent="0.55000000000000004">
      <c r="P224" s="20" t="s">
        <v>236</v>
      </c>
      <c r="R224">
        <v>0.50931999999999999</v>
      </c>
      <c r="T224">
        <v>124.5</v>
      </c>
      <c r="V224" s="22">
        <v>2.2999999999999998</v>
      </c>
      <c r="X224" s="24">
        <v>6.9469907407407403E-4</v>
      </c>
    </row>
    <row r="225" spans="16:24" x14ac:dyDescent="0.55000000000000004">
      <c r="P225" s="20"/>
      <c r="X225" s="24">
        <v>4.1666898148148149E-3</v>
      </c>
    </row>
    <row r="226" spans="16:24" x14ac:dyDescent="0.55000000000000004">
      <c r="P226" s="20"/>
      <c r="X226" s="24">
        <v>5.5622106481481477E-3</v>
      </c>
    </row>
    <row r="227" spans="16:24" x14ac:dyDescent="0.55000000000000004">
      <c r="P227" s="20"/>
      <c r="X227" s="24">
        <v>7.6390624999999992E-3</v>
      </c>
    </row>
    <row r="228" spans="16:24" x14ac:dyDescent="0.55000000000000004">
      <c r="P228" s="20"/>
      <c r="X228" s="24">
        <v>8.3333449074074074E-3</v>
      </c>
    </row>
    <row r="229" spans="16:24" x14ac:dyDescent="0.55000000000000004">
      <c r="P229" s="20"/>
      <c r="X229" s="24">
        <v>9.0280092592592599E-3</v>
      </c>
    </row>
    <row r="230" spans="16:24" x14ac:dyDescent="0.55000000000000004">
      <c r="P230" s="20"/>
      <c r="X230" s="24">
        <v>9.7257523148148155E-3</v>
      </c>
    </row>
    <row r="231" spans="16:24" x14ac:dyDescent="0.55000000000000004">
      <c r="P231" s="20"/>
      <c r="X231" s="24">
        <v>1.3194560185185182E-2</v>
      </c>
    </row>
    <row r="232" spans="16:24" x14ac:dyDescent="0.55000000000000004">
      <c r="P232" s="20"/>
      <c r="X232" s="24">
        <v>1.3889386574074075E-2</v>
      </c>
    </row>
    <row r="233" spans="16:24" x14ac:dyDescent="0.55000000000000004">
      <c r="P233" s="20"/>
      <c r="X233" s="24">
        <v>1.8055624999999999E-2</v>
      </c>
    </row>
    <row r="234" spans="16:24" x14ac:dyDescent="0.55000000000000004">
      <c r="P234" s="20" t="s">
        <v>237</v>
      </c>
      <c r="R234">
        <v>0.45713999999999999</v>
      </c>
      <c r="T234">
        <v>248.2</v>
      </c>
      <c r="V234" s="22">
        <v>3.35</v>
      </c>
      <c r="X234" s="24">
        <v>6.9449074074074075E-4</v>
      </c>
    </row>
    <row r="235" spans="16:24" x14ac:dyDescent="0.55000000000000004">
      <c r="P235" s="20"/>
      <c r="X235" s="24">
        <v>5.5591666666666671E-3</v>
      </c>
    </row>
    <row r="236" spans="16:24" x14ac:dyDescent="0.55000000000000004">
      <c r="P236" s="20"/>
      <c r="X236" s="24">
        <v>8.3333449074074074E-3</v>
      </c>
    </row>
    <row r="237" spans="16:24" x14ac:dyDescent="0.55000000000000004">
      <c r="P237" s="20"/>
      <c r="X237" s="24">
        <v>9.0278240740740753E-3</v>
      </c>
    </row>
    <row r="238" spans="16:24" x14ac:dyDescent="0.55000000000000004">
      <c r="P238" s="20"/>
      <c r="X238" s="24">
        <v>9.7223379629629621E-3</v>
      </c>
    </row>
    <row r="239" spans="16:24" x14ac:dyDescent="0.55000000000000004">
      <c r="P239" s="20"/>
      <c r="X239" s="24">
        <v>1.1112361111111109E-2</v>
      </c>
    </row>
    <row r="240" spans="16:24" x14ac:dyDescent="0.55000000000000004">
      <c r="P240" s="20"/>
      <c r="X240" s="24">
        <v>1.388946759259259E-2</v>
      </c>
    </row>
    <row r="241" spans="16:24" x14ac:dyDescent="0.55000000000000004">
      <c r="P241" s="20"/>
      <c r="X241" s="24">
        <v>1.8056111111111113E-2</v>
      </c>
    </row>
    <row r="242" spans="16:24" x14ac:dyDescent="0.55000000000000004">
      <c r="P242" s="20"/>
      <c r="X242" s="24">
        <v>3.8894247685185186E-2</v>
      </c>
    </row>
    <row r="243" spans="16:24" x14ac:dyDescent="0.55000000000000004">
      <c r="P243" s="20" t="s">
        <v>254</v>
      </c>
      <c r="R243">
        <v>0.54708999999999997</v>
      </c>
      <c r="T243">
        <v>74.3</v>
      </c>
      <c r="V243" s="22">
        <v>1.07</v>
      </c>
      <c r="X243" s="24">
        <v>6.955555555555556E-4</v>
      </c>
    </row>
    <row r="244" spans="16:24" x14ac:dyDescent="0.55000000000000004">
      <c r="P244" s="20"/>
      <c r="X244" s="24">
        <v>4.168923611111112E-3</v>
      </c>
    </row>
    <row r="245" spans="16:24" x14ac:dyDescent="0.55000000000000004">
      <c r="P245" s="20"/>
      <c r="X245" s="24">
        <v>4.8617708333333334E-3</v>
      </c>
    </row>
    <row r="246" spans="16:24" x14ac:dyDescent="0.55000000000000004">
      <c r="P246" s="20"/>
      <c r="X246" s="24">
        <v>5.563032407407408E-3</v>
      </c>
    </row>
    <row r="247" spans="16:24" x14ac:dyDescent="0.55000000000000004">
      <c r="P247" s="20"/>
      <c r="X247" s="24">
        <v>7.6389004629629637E-3</v>
      </c>
    </row>
    <row r="248" spans="16:24" x14ac:dyDescent="0.55000000000000004">
      <c r="P248" s="20"/>
      <c r="X248" s="24">
        <v>1.041667824074074E-2</v>
      </c>
    </row>
    <row r="249" spans="16:24" x14ac:dyDescent="0.55000000000000004">
      <c r="P249" s="20"/>
      <c r="X249" s="24">
        <v>1.1111145833333334E-2</v>
      </c>
    </row>
    <row r="250" spans="16:24" x14ac:dyDescent="0.55000000000000004">
      <c r="P250" s="20"/>
      <c r="X250" s="24">
        <v>1.1805567129629629E-2</v>
      </c>
    </row>
    <row r="251" spans="16:24" x14ac:dyDescent="0.55000000000000004">
      <c r="P251" s="20" t="s">
        <v>255</v>
      </c>
      <c r="R251">
        <v>0.55334000000000005</v>
      </c>
      <c r="T251">
        <v>76.3</v>
      </c>
      <c r="V251" s="22">
        <v>1.024</v>
      </c>
      <c r="X251" s="24">
        <v>6.9569444444444453E-4</v>
      </c>
    </row>
    <row r="252" spans="16:24" x14ac:dyDescent="0.55000000000000004">
      <c r="P252" s="20"/>
      <c r="X252" s="24">
        <v>5.5657291666666659E-3</v>
      </c>
    </row>
    <row r="253" spans="16:24" x14ac:dyDescent="0.55000000000000004">
      <c r="P253" s="20"/>
      <c r="X253" s="24">
        <v>7.6388888888888886E-3</v>
      </c>
    </row>
    <row r="254" spans="16:24" x14ac:dyDescent="0.55000000000000004">
      <c r="P254" s="20"/>
      <c r="X254" s="24">
        <v>1.1111261574074075E-2</v>
      </c>
    </row>
    <row r="255" spans="16:24" x14ac:dyDescent="0.55000000000000004">
      <c r="P255" s="20"/>
      <c r="X255" s="24">
        <v>1.1805555555555555E-2</v>
      </c>
    </row>
    <row r="256" spans="16:24" x14ac:dyDescent="0.55000000000000004">
      <c r="P256" s="20"/>
      <c r="X256" s="24">
        <v>1.8055555555555557E-2</v>
      </c>
    </row>
    <row r="257" spans="16:24" x14ac:dyDescent="0.55000000000000004">
      <c r="P257" s="20" t="s">
        <v>256</v>
      </c>
      <c r="R257">
        <v>0.42265000000000003</v>
      </c>
      <c r="T257">
        <v>493.3</v>
      </c>
      <c r="V257" s="22">
        <v>7.44</v>
      </c>
      <c r="X257" s="24">
        <v>5.5565393518518524E-3</v>
      </c>
    </row>
    <row r="258" spans="16:24" x14ac:dyDescent="0.55000000000000004">
      <c r="P258" s="20"/>
      <c r="X258" s="24">
        <v>1.1112094907407409E-2</v>
      </c>
    </row>
    <row r="259" spans="16:24" x14ac:dyDescent="0.55000000000000004">
      <c r="P259" s="20"/>
      <c r="X259" s="24">
        <v>4.4454062500000002E-2</v>
      </c>
    </row>
    <row r="260" spans="16:24" x14ac:dyDescent="0.55000000000000004">
      <c r="P260" s="20" t="s">
        <v>257</v>
      </c>
      <c r="R260">
        <v>0.54383999999999999</v>
      </c>
      <c r="T260">
        <v>67.2</v>
      </c>
      <c r="V260" s="22">
        <v>1.3</v>
      </c>
      <c r="X260" s="24">
        <v>6.9548611111111113E-4</v>
      </c>
    </row>
    <row r="261" spans="16:24" x14ac:dyDescent="0.55000000000000004">
      <c r="P261" s="20"/>
      <c r="X261" s="24">
        <v>4.1736805555555563E-3</v>
      </c>
    </row>
    <row r="262" spans="16:24" x14ac:dyDescent="0.55000000000000004">
      <c r="P262" s="20"/>
      <c r="X262" s="24">
        <v>4.8624074074074073E-3</v>
      </c>
    </row>
    <row r="263" spans="16:24" x14ac:dyDescent="0.55000000000000004">
      <c r="P263" s="20"/>
      <c r="X263" s="24">
        <v>5.5577777777777769E-3</v>
      </c>
    </row>
    <row r="264" spans="16:24" x14ac:dyDescent="0.55000000000000004">
      <c r="P264" s="20" t="s">
        <v>238</v>
      </c>
      <c r="R264">
        <v>0.44246000000000002</v>
      </c>
      <c r="T264">
        <v>384.9</v>
      </c>
      <c r="V264" s="22">
        <v>5.31</v>
      </c>
      <c r="X264" s="24">
        <v>2.1533356481481483E-2</v>
      </c>
    </row>
    <row r="265" spans="16:24" x14ac:dyDescent="0.55000000000000004">
      <c r="P265" s="20"/>
      <c r="X265" s="24">
        <v>2.2922662037037037E-2</v>
      </c>
    </row>
    <row r="266" spans="16:24" x14ac:dyDescent="0.55000000000000004">
      <c r="P266" s="20" t="s">
        <v>239</v>
      </c>
      <c r="R266">
        <v>0.49707000000000001</v>
      </c>
      <c r="T266">
        <v>134</v>
      </c>
      <c r="V266" s="22">
        <v>2.23</v>
      </c>
      <c r="X266" s="24">
        <v>3.472685185185185E-3</v>
      </c>
    </row>
    <row r="267" spans="16:24" x14ac:dyDescent="0.55000000000000004">
      <c r="P267" s="20"/>
      <c r="X267" s="24">
        <v>5.5618055555555559E-3</v>
      </c>
    </row>
    <row r="268" spans="16:24" x14ac:dyDescent="0.55000000000000004">
      <c r="P268" s="20"/>
      <c r="X268" s="24">
        <v>7.6392129629629622E-3</v>
      </c>
    </row>
    <row r="269" spans="16:24" x14ac:dyDescent="0.55000000000000004">
      <c r="P269" s="20"/>
      <c r="X269" s="24">
        <v>9.0279166666666667E-3</v>
      </c>
    </row>
    <row r="270" spans="16:24" x14ac:dyDescent="0.55000000000000004">
      <c r="P270" s="20"/>
      <c r="X270" s="24">
        <v>9.7265856481481491E-3</v>
      </c>
    </row>
    <row r="271" spans="16:24" x14ac:dyDescent="0.55000000000000004">
      <c r="P271" s="20"/>
      <c r="X271" s="24">
        <v>1.3194479166666669E-2</v>
      </c>
    </row>
    <row r="272" spans="16:24" x14ac:dyDescent="0.55000000000000004">
      <c r="P272" s="20" t="s">
        <v>240</v>
      </c>
      <c r="R272">
        <v>0.42101</v>
      </c>
      <c r="T272">
        <v>526.4</v>
      </c>
      <c r="V272" s="22">
        <v>6.22</v>
      </c>
      <c r="X272" s="24">
        <v>5.5573611111111101E-3</v>
      </c>
    </row>
    <row r="273" spans="16:24" x14ac:dyDescent="0.55000000000000004">
      <c r="P273" s="20"/>
      <c r="X273" s="24">
        <v>9.7231597222222233E-3</v>
      </c>
    </row>
    <row r="274" spans="16:24" x14ac:dyDescent="0.55000000000000004">
      <c r="P274" s="20"/>
      <c r="X274" s="24">
        <v>1.527787037037037E-2</v>
      </c>
    </row>
    <row r="275" spans="16:24" x14ac:dyDescent="0.55000000000000004">
      <c r="P275" s="20"/>
      <c r="X275" s="24">
        <v>2.2916701388888891E-2</v>
      </c>
    </row>
    <row r="276" spans="16:24" x14ac:dyDescent="0.55000000000000004">
      <c r="P276" s="20"/>
      <c r="X276" s="24">
        <v>5.6953148148148149E-2</v>
      </c>
    </row>
    <row r="277" spans="16:24" x14ac:dyDescent="0.55000000000000004">
      <c r="P277" s="20" t="s">
        <v>258</v>
      </c>
      <c r="R277">
        <v>0.46261999999999998</v>
      </c>
      <c r="T277">
        <v>94</v>
      </c>
      <c r="V277" s="22">
        <v>2.6349999999999998</v>
      </c>
      <c r="X277" s="24">
        <v>2.0864351851851851E-3</v>
      </c>
    </row>
    <row r="278" spans="16:24" x14ac:dyDescent="0.55000000000000004">
      <c r="P278" s="20"/>
      <c r="X278" s="24">
        <v>6.2584722222222217E-3</v>
      </c>
    </row>
    <row r="279" spans="16:24" x14ac:dyDescent="0.55000000000000004">
      <c r="P279" s="20" t="s">
        <v>259</v>
      </c>
      <c r="R279">
        <v>0.48485</v>
      </c>
      <c r="T279">
        <v>94.6</v>
      </c>
      <c r="V279" s="22">
        <v>2.44</v>
      </c>
      <c r="X279" s="24">
        <v>2.0842824074074075E-3</v>
      </c>
    </row>
    <row r="280" spans="16:24" x14ac:dyDescent="0.55000000000000004">
      <c r="P280" s="20"/>
      <c r="X280" s="24">
        <v>3.4751851851851853E-3</v>
      </c>
    </row>
    <row r="281" spans="16:24" x14ac:dyDescent="0.55000000000000004">
      <c r="P281" s="20"/>
      <c r="X281" s="24">
        <v>5.5632175925925927E-3</v>
      </c>
    </row>
    <row r="282" spans="16:24" x14ac:dyDescent="0.55000000000000004">
      <c r="P282" s="20" t="s">
        <v>260</v>
      </c>
      <c r="R282">
        <v>0.55047999999999997</v>
      </c>
      <c r="T282">
        <v>75.2</v>
      </c>
      <c r="V282" s="22">
        <v>1.05</v>
      </c>
      <c r="X282" s="24">
        <v>6.956365740740741E-4</v>
      </c>
    </row>
    <row r="283" spans="16:24" x14ac:dyDescent="0.55000000000000004">
      <c r="P283" s="20"/>
      <c r="X283" s="24">
        <v>4.1678819444444445E-3</v>
      </c>
    </row>
    <row r="284" spans="16:24" x14ac:dyDescent="0.55000000000000004">
      <c r="P284" s="20"/>
      <c r="X284" s="24">
        <v>4.8614699074074072E-3</v>
      </c>
    </row>
    <row r="285" spans="16:24" x14ac:dyDescent="0.55000000000000004">
      <c r="P285" s="20"/>
      <c r="X285" s="24">
        <v>5.5642245370370368E-3</v>
      </c>
    </row>
    <row r="286" spans="16:24" x14ac:dyDescent="0.55000000000000004">
      <c r="P286" s="20"/>
      <c r="X286" s="24">
        <v>7.6389120370370369E-3</v>
      </c>
    </row>
    <row r="287" spans="16:24" x14ac:dyDescent="0.55000000000000004">
      <c r="P287" s="20"/>
      <c r="X287" s="24">
        <v>1.0416689814814814E-2</v>
      </c>
    </row>
    <row r="288" spans="16:24" x14ac:dyDescent="0.55000000000000004">
      <c r="P288" s="20"/>
      <c r="X288" s="24">
        <v>1.1111145833333334E-2</v>
      </c>
    </row>
    <row r="289" spans="16:24" x14ac:dyDescent="0.55000000000000004">
      <c r="P289" s="20"/>
      <c r="X289" s="24">
        <v>1.1805590277777779E-2</v>
      </c>
    </row>
    <row r="290" spans="16:24" x14ac:dyDescent="0.55000000000000004">
      <c r="P290" s="20"/>
      <c r="X290" s="24">
        <v>1.3194467592592594E-2</v>
      </c>
    </row>
    <row r="291" spans="16:24" x14ac:dyDescent="0.55000000000000004">
      <c r="P291" s="20" t="s">
        <v>261</v>
      </c>
      <c r="R291">
        <v>0.49012</v>
      </c>
      <c r="T291">
        <v>108.3</v>
      </c>
      <c r="V291" s="22">
        <v>2.5299999999999998</v>
      </c>
      <c r="X291" s="24">
        <v>3.4750115740740744E-3</v>
      </c>
    </row>
    <row r="292" spans="16:24" x14ac:dyDescent="0.55000000000000004">
      <c r="P292" s="20"/>
      <c r="X292" s="24">
        <v>5.5627777777777785E-3</v>
      </c>
    </row>
    <row r="293" spans="16:24" x14ac:dyDescent="0.55000000000000004">
      <c r="P293" s="20"/>
      <c r="X293" s="24">
        <v>8.334895833333333E-3</v>
      </c>
    </row>
    <row r="294" spans="16:24" x14ac:dyDescent="0.55000000000000004">
      <c r="P294" s="20" t="s">
        <v>262</v>
      </c>
      <c r="R294">
        <v>0.40933000000000003</v>
      </c>
      <c r="T294">
        <v>684.5</v>
      </c>
      <c r="V294" s="22">
        <v>6.36</v>
      </c>
      <c r="X294" s="24">
        <v>3.6812025462962965E-2</v>
      </c>
    </row>
    <row r="295" spans="16:24" x14ac:dyDescent="0.55000000000000004">
      <c r="P295" s="20"/>
      <c r="X295" s="24">
        <v>5.5560659722222218E-2</v>
      </c>
    </row>
    <row r="296" spans="16:24" x14ac:dyDescent="0.55000000000000004">
      <c r="P296" s="20" t="s">
        <v>263</v>
      </c>
      <c r="R296">
        <v>0.55000000000000004</v>
      </c>
      <c r="T296">
        <v>74.599999999999994</v>
      </c>
      <c r="V296" s="22">
        <v>1.05</v>
      </c>
      <c r="X296" s="24">
        <v>6.9562500000000006E-4</v>
      </c>
    </row>
    <row r="297" spans="16:24" x14ac:dyDescent="0.55000000000000004">
      <c r="P297" s="20"/>
      <c r="X297" s="24">
        <v>4.1683217592592596E-3</v>
      </c>
    </row>
    <row r="298" spans="16:24" x14ac:dyDescent="0.55000000000000004">
      <c r="P298" s="20"/>
      <c r="X298" s="24">
        <v>4.8615046296296297E-3</v>
      </c>
    </row>
    <row r="299" spans="16:24" x14ac:dyDescent="0.55000000000000004">
      <c r="P299" s="20"/>
      <c r="X299" s="24">
        <v>5.5637731481481484E-3</v>
      </c>
    </row>
    <row r="300" spans="16:24" x14ac:dyDescent="0.55000000000000004">
      <c r="P300" s="20"/>
      <c r="X300" s="24">
        <v>7.6389004629629637E-3</v>
      </c>
    </row>
    <row r="301" spans="16:24" x14ac:dyDescent="0.55000000000000004">
      <c r="P301" s="20"/>
      <c r="X301" s="24">
        <v>1.0416689814814814E-2</v>
      </c>
    </row>
    <row r="302" spans="16:24" x14ac:dyDescent="0.55000000000000004">
      <c r="P302" s="20"/>
      <c r="X302" s="24">
        <v>1.1111145833333334E-2</v>
      </c>
    </row>
    <row r="303" spans="16:24" x14ac:dyDescent="0.55000000000000004">
      <c r="P303" s="20"/>
      <c r="X303" s="24">
        <v>1.1805567129629629E-2</v>
      </c>
    </row>
    <row r="304" spans="16:24" x14ac:dyDescent="0.55000000000000004">
      <c r="P304" s="20"/>
      <c r="X304" s="24">
        <v>1.3194490740740741E-2</v>
      </c>
    </row>
    <row r="305" spans="16:24" x14ac:dyDescent="0.55000000000000004">
      <c r="P305" s="20" t="s">
        <v>264</v>
      </c>
      <c r="R305">
        <v>0.55149000000000004</v>
      </c>
      <c r="T305">
        <v>75</v>
      </c>
      <c r="V305" s="22">
        <v>1.05</v>
      </c>
      <c r="X305" s="24">
        <v>6.9565972222222219E-4</v>
      </c>
    </row>
    <row r="306" spans="16:24" x14ac:dyDescent="0.55000000000000004">
      <c r="P306" s="20"/>
      <c r="X306" s="24">
        <v>4.1677430555555556E-3</v>
      </c>
    </row>
    <row r="307" spans="16:24" x14ac:dyDescent="0.55000000000000004">
      <c r="P307" s="20"/>
      <c r="X307" s="24">
        <v>4.8613888888888891E-3</v>
      </c>
    </row>
    <row r="308" spans="16:24" x14ac:dyDescent="0.55000000000000004">
      <c r="P308" s="20"/>
      <c r="X308" s="24">
        <v>5.5644444444444448E-3</v>
      </c>
    </row>
    <row r="309" spans="16:24" x14ac:dyDescent="0.55000000000000004">
      <c r="P309" s="20"/>
      <c r="X309" s="24">
        <v>7.6389120370370369E-3</v>
      </c>
    </row>
    <row r="310" spans="16:24" x14ac:dyDescent="0.55000000000000004">
      <c r="P310" s="20"/>
      <c r="X310" s="24">
        <v>1.0416689814814814E-2</v>
      </c>
    </row>
    <row r="311" spans="16:24" x14ac:dyDescent="0.55000000000000004">
      <c r="P311" s="20"/>
      <c r="X311" s="24">
        <v>1.111113425925926E-2</v>
      </c>
    </row>
    <row r="312" spans="16:24" x14ac:dyDescent="0.55000000000000004">
      <c r="P312" s="20"/>
      <c r="X312" s="24">
        <v>1.1805578703703704E-2</v>
      </c>
    </row>
    <row r="313" spans="16:24" x14ac:dyDescent="0.55000000000000004">
      <c r="P313" s="20"/>
      <c r="X313" s="24">
        <v>1.3194467592592594E-2</v>
      </c>
    </row>
    <row r="314" spans="16:24" x14ac:dyDescent="0.55000000000000004">
      <c r="P314" s="20" t="s">
        <v>265</v>
      </c>
      <c r="R314">
        <v>0.48176000000000002</v>
      </c>
      <c r="T314">
        <v>179</v>
      </c>
      <c r="V314" s="22">
        <v>2.2000000000000002</v>
      </c>
      <c r="X314" s="24">
        <v>6.9480324074074073E-4</v>
      </c>
    </row>
    <row r="315" spans="16:24" x14ac:dyDescent="0.55000000000000004">
      <c r="P315" s="20"/>
      <c r="X315" s="24">
        <v>4.1691087962962966E-3</v>
      </c>
    </row>
    <row r="316" spans="16:24" x14ac:dyDescent="0.55000000000000004">
      <c r="P316" s="20"/>
      <c r="X316" s="24">
        <v>4.8619444444444439E-3</v>
      </c>
    </row>
    <row r="317" spans="16:24" x14ac:dyDescent="0.55000000000000004">
      <c r="P317" s="20"/>
      <c r="X317" s="24">
        <v>5.5574421296296292E-3</v>
      </c>
    </row>
    <row r="318" spans="16:24" x14ac:dyDescent="0.55000000000000004">
      <c r="P318" s="20"/>
      <c r="X318" s="24">
        <v>2.4308136574074074E-2</v>
      </c>
    </row>
    <row r="319" spans="16:24" x14ac:dyDescent="0.55000000000000004">
      <c r="P319" s="20"/>
      <c r="X319" s="24">
        <v>3.2642372685185189E-2</v>
      </c>
    </row>
    <row r="320" spans="16:24" x14ac:dyDescent="0.55000000000000004">
      <c r="P320" s="20" t="s">
        <v>266</v>
      </c>
      <c r="R320">
        <v>0.45452999999999999</v>
      </c>
      <c r="T320">
        <v>331</v>
      </c>
      <c r="V320" s="22">
        <v>3.8149999999999999</v>
      </c>
      <c r="X320" s="24">
        <v>6.9460648148148149E-4</v>
      </c>
    </row>
    <row r="321" spans="16:24" x14ac:dyDescent="0.55000000000000004">
      <c r="P321" s="20"/>
      <c r="X321" s="24">
        <v>4.1675000000000002E-3</v>
      </c>
    </row>
    <row r="322" spans="16:24" x14ac:dyDescent="0.55000000000000004">
      <c r="P322" s="20"/>
      <c r="X322" s="24">
        <v>4.8613310185185183E-3</v>
      </c>
    </row>
    <row r="323" spans="16:24" x14ac:dyDescent="0.55000000000000004">
      <c r="P323" s="20"/>
      <c r="X323" s="24">
        <v>5.5563194444444436E-3</v>
      </c>
    </row>
    <row r="324" spans="16:24" x14ac:dyDescent="0.55000000000000004">
      <c r="P324" s="20"/>
      <c r="X324" s="24">
        <v>1.111113425925926E-2</v>
      </c>
    </row>
    <row r="325" spans="16:24" x14ac:dyDescent="0.55000000000000004">
      <c r="P325" s="20"/>
      <c r="X325" s="24">
        <v>2.4309594907407406E-2</v>
      </c>
    </row>
    <row r="326" spans="16:24" x14ac:dyDescent="0.55000000000000004">
      <c r="P326" s="20"/>
      <c r="X326" s="24">
        <v>3.2644374999999996E-2</v>
      </c>
    </row>
    <row r="327" spans="16:24" x14ac:dyDescent="0.55000000000000004">
      <c r="P327" s="20"/>
      <c r="X327" s="24">
        <v>3.6805590277777779E-2</v>
      </c>
    </row>
    <row r="328" spans="16:24" x14ac:dyDescent="0.55000000000000004">
      <c r="P328" s="20" t="s">
        <v>267</v>
      </c>
      <c r="R328">
        <v>0.54140999999999995</v>
      </c>
      <c r="T328">
        <v>64.7</v>
      </c>
      <c r="V328" s="22">
        <v>1.032</v>
      </c>
      <c r="X328" s="24">
        <v>6.9542824074074071E-4</v>
      </c>
    </row>
    <row r="329" spans="16:24" x14ac:dyDescent="0.55000000000000004">
      <c r="P329" s="20"/>
      <c r="X329" s="24">
        <v>4.1772569444444444E-3</v>
      </c>
    </row>
    <row r="330" spans="16:24" x14ac:dyDescent="0.55000000000000004">
      <c r="P330" s="20" t="s">
        <v>268</v>
      </c>
      <c r="R330">
        <v>0.57033</v>
      </c>
      <c r="T330">
        <v>57.4</v>
      </c>
      <c r="V330" s="22">
        <v>0.93</v>
      </c>
      <c r="X330" s="24">
        <v>6.96111111111111E-4</v>
      </c>
    </row>
    <row r="331" spans="16:24" x14ac:dyDescent="0.55000000000000004">
      <c r="P331" s="20"/>
      <c r="X331" s="24">
        <v>4.1765740740740747E-3</v>
      </c>
    </row>
    <row r="332" spans="16:24" x14ac:dyDescent="0.55000000000000004">
      <c r="P332" s="20" t="s">
        <v>269</v>
      </c>
      <c r="R332">
        <v>0.52037</v>
      </c>
      <c r="T332">
        <v>78.7</v>
      </c>
      <c r="V332" s="22">
        <v>1.38</v>
      </c>
      <c r="X332" s="24">
        <v>6.9493055555555551E-4</v>
      </c>
    </row>
    <row r="333" spans="16:24" x14ac:dyDescent="0.55000000000000004">
      <c r="P333" s="20"/>
      <c r="X333" s="24">
        <v>4.1739004629629635E-3</v>
      </c>
    </row>
    <row r="334" spans="16:24" x14ac:dyDescent="0.55000000000000004">
      <c r="P334" s="20"/>
      <c r="X334" s="24">
        <v>5.5594097222222217E-3</v>
      </c>
    </row>
    <row r="335" spans="16:24" x14ac:dyDescent="0.55000000000000004">
      <c r="P335" s="20" t="s">
        <v>241</v>
      </c>
      <c r="R335">
        <v>0.53937000000000002</v>
      </c>
      <c r="T335">
        <v>74</v>
      </c>
      <c r="V335" s="22">
        <v>1.19</v>
      </c>
      <c r="X335" s="24">
        <v>6.9538194444444432E-4</v>
      </c>
    </row>
    <row r="336" spans="16:24" x14ac:dyDescent="0.55000000000000004">
      <c r="P336" s="20"/>
      <c r="X336" s="24">
        <v>4.1736111111111114E-3</v>
      </c>
    </row>
    <row r="337" spans="16:24" x14ac:dyDescent="0.55000000000000004">
      <c r="P337" s="20"/>
      <c r="X337" s="24">
        <v>5.5592592592592594E-3</v>
      </c>
    </row>
    <row r="338" spans="16:24" x14ac:dyDescent="0.55000000000000004">
      <c r="P338" s="20" t="s">
        <v>270</v>
      </c>
      <c r="R338">
        <v>0.53768000000000005</v>
      </c>
      <c r="T338">
        <v>68.7</v>
      </c>
      <c r="V338" s="22">
        <v>1.06</v>
      </c>
      <c r="X338" s="24">
        <v>6.9533564814814816E-4</v>
      </c>
    </row>
    <row r="339" spans="16:24" x14ac:dyDescent="0.55000000000000004">
      <c r="P339" s="20"/>
      <c r="X339" s="24">
        <v>4.1773495370370376E-3</v>
      </c>
    </row>
    <row r="340" spans="16:24" x14ac:dyDescent="0.55000000000000004">
      <c r="P340" s="20" t="s">
        <v>271</v>
      </c>
      <c r="R340">
        <v>0.47993000000000002</v>
      </c>
      <c r="T340">
        <v>99.1</v>
      </c>
      <c r="V340" s="22">
        <v>2.25</v>
      </c>
      <c r="X340" s="24">
        <v>4.1694444444444444E-3</v>
      </c>
    </row>
    <row r="341" spans="16:24" x14ac:dyDescent="0.55000000000000004">
      <c r="P341" s="20"/>
      <c r="X341" s="24">
        <v>6.2587962962962962E-3</v>
      </c>
    </row>
    <row r="342" spans="16:24" x14ac:dyDescent="0.55000000000000004">
      <c r="P342" s="20" t="s">
        <v>272</v>
      </c>
      <c r="R342">
        <v>0.51200999999999997</v>
      </c>
      <c r="T342">
        <v>108.2</v>
      </c>
      <c r="V342" s="22">
        <v>1.4059999999999999</v>
      </c>
      <c r="X342" s="24">
        <v>6.9499999999999987E-4</v>
      </c>
    </row>
    <row r="343" spans="16:24" x14ac:dyDescent="0.55000000000000004">
      <c r="P343" s="20"/>
      <c r="X343" s="24">
        <v>4.1711111111111107E-3</v>
      </c>
    </row>
    <row r="344" spans="16:24" x14ac:dyDescent="0.55000000000000004">
      <c r="P344" s="20"/>
      <c r="X344" s="24">
        <v>1.1812118055555557E-2</v>
      </c>
    </row>
    <row r="345" spans="16:24" x14ac:dyDescent="0.55000000000000004">
      <c r="P345" s="20" t="s">
        <v>273</v>
      </c>
      <c r="R345">
        <v>0.54986999999999997</v>
      </c>
      <c r="T345">
        <v>64.5</v>
      </c>
      <c r="V345" s="22">
        <v>1.08</v>
      </c>
      <c r="X345" s="24">
        <v>6.9562500000000006E-4</v>
      </c>
    </row>
    <row r="346" spans="16:24" x14ac:dyDescent="0.55000000000000004">
      <c r="P346" s="20"/>
      <c r="X346" s="24">
        <v>4.1742361111111112E-3</v>
      </c>
    </row>
    <row r="347" spans="16:24" x14ac:dyDescent="0.55000000000000004">
      <c r="P347" s="20"/>
      <c r="X347" s="24">
        <v>4.8622569444444442E-3</v>
      </c>
    </row>
    <row r="348" spans="16:24" x14ac:dyDescent="0.55000000000000004">
      <c r="P348" s="20"/>
      <c r="X348" s="24">
        <v>5.5572337962962971E-3</v>
      </c>
    </row>
    <row r="349" spans="16:24" x14ac:dyDescent="0.55000000000000004">
      <c r="P349" s="20" t="s">
        <v>274</v>
      </c>
      <c r="R349">
        <v>0.55200000000000005</v>
      </c>
      <c r="T349">
        <v>74.7</v>
      </c>
      <c r="V349" s="22">
        <v>1.04</v>
      </c>
      <c r="X349" s="24">
        <v>6.9567129629629634E-4</v>
      </c>
    </row>
    <row r="350" spans="16:24" x14ac:dyDescent="0.55000000000000004">
      <c r="P350" s="20"/>
      <c r="X350" s="24">
        <v>4.1678124999999996E-3</v>
      </c>
    </row>
    <row r="351" spans="16:24" x14ac:dyDescent="0.55000000000000004">
      <c r="P351" s="20"/>
      <c r="X351" s="24">
        <v>4.8613425925925933E-3</v>
      </c>
    </row>
    <row r="352" spans="16:24" x14ac:dyDescent="0.55000000000000004">
      <c r="P352" s="20"/>
      <c r="X352" s="24">
        <v>5.5644212962962956E-3</v>
      </c>
    </row>
    <row r="353" spans="16:24" x14ac:dyDescent="0.55000000000000004">
      <c r="P353" s="20"/>
      <c r="X353" s="24">
        <v>7.6389120370370369E-3</v>
      </c>
    </row>
    <row r="354" spans="16:24" x14ac:dyDescent="0.55000000000000004">
      <c r="P354" s="20"/>
      <c r="X354" s="24">
        <v>1.041667824074074E-2</v>
      </c>
    </row>
    <row r="355" spans="16:24" x14ac:dyDescent="0.55000000000000004">
      <c r="P355" s="20"/>
      <c r="X355" s="24">
        <v>1.111113425925926E-2</v>
      </c>
    </row>
    <row r="356" spans="16:24" x14ac:dyDescent="0.55000000000000004">
      <c r="P356" s="20"/>
      <c r="X356" s="24">
        <v>1.1805578703703704E-2</v>
      </c>
    </row>
    <row r="357" spans="16:24" x14ac:dyDescent="0.55000000000000004">
      <c r="P357" s="20"/>
      <c r="X357" s="24">
        <v>1.3194467592592594E-2</v>
      </c>
    </row>
    <row r="358" spans="16:24" x14ac:dyDescent="0.55000000000000004">
      <c r="P358" s="20" t="s">
        <v>275</v>
      </c>
      <c r="R358">
        <v>0.54996</v>
      </c>
      <c r="T358">
        <v>74.7</v>
      </c>
      <c r="V358" s="22">
        <v>1.06</v>
      </c>
      <c r="X358" s="24">
        <v>6.9562500000000006E-4</v>
      </c>
    </row>
    <row r="359" spans="16:24" x14ac:dyDescent="0.55000000000000004">
      <c r="P359" s="20"/>
      <c r="X359" s="24">
        <v>4.1683217592592596E-3</v>
      </c>
    </row>
    <row r="360" spans="16:24" x14ac:dyDescent="0.55000000000000004">
      <c r="P360" s="20"/>
      <c r="X360" s="24">
        <v>4.8615046296296297E-3</v>
      </c>
    </row>
    <row r="361" spans="16:24" x14ac:dyDescent="0.55000000000000004">
      <c r="P361" s="20"/>
      <c r="X361" s="24">
        <v>5.5637499999999993E-3</v>
      </c>
    </row>
    <row r="362" spans="16:24" x14ac:dyDescent="0.55000000000000004">
      <c r="P362" s="20"/>
      <c r="X362" s="24">
        <v>7.6389120370370369E-3</v>
      </c>
    </row>
    <row r="363" spans="16:24" x14ac:dyDescent="0.55000000000000004">
      <c r="P363" s="20"/>
      <c r="X363" s="24">
        <v>1.0416701388888889E-2</v>
      </c>
    </row>
    <row r="364" spans="16:24" x14ac:dyDescent="0.55000000000000004">
      <c r="P364" s="20"/>
      <c r="X364" s="24">
        <v>1.1111145833333334E-2</v>
      </c>
    </row>
    <row r="365" spans="16:24" x14ac:dyDescent="0.55000000000000004">
      <c r="P365" s="20"/>
      <c r="X365" s="24">
        <v>1.1805578703703704E-2</v>
      </c>
    </row>
    <row r="366" spans="16:24" x14ac:dyDescent="0.55000000000000004">
      <c r="P366" s="20"/>
      <c r="X366" s="24">
        <v>1.3194479166666669E-2</v>
      </c>
    </row>
    <row r="367" spans="16:24" x14ac:dyDescent="0.55000000000000004">
      <c r="P367" s="20" t="s">
        <v>276</v>
      </c>
      <c r="R367">
        <v>0.54974999999999996</v>
      </c>
      <c r="T367">
        <v>74.900000000000006</v>
      </c>
      <c r="V367" s="22">
        <v>1</v>
      </c>
      <c r="X367" s="24">
        <v>6.9561342592592591E-4</v>
      </c>
    </row>
    <row r="368" spans="16:24" x14ac:dyDescent="0.55000000000000004">
      <c r="P368" s="20"/>
      <c r="X368" s="24">
        <v>4.1679513888888886E-3</v>
      </c>
    </row>
    <row r="369" spans="16:24" x14ac:dyDescent="0.55000000000000004">
      <c r="P369" s="20"/>
      <c r="X369" s="24">
        <v>4.8614120370370374E-3</v>
      </c>
    </row>
    <row r="370" spans="16:24" x14ac:dyDescent="0.55000000000000004">
      <c r="P370" s="20"/>
      <c r="X370" s="24">
        <v>5.5643749999999999E-3</v>
      </c>
    </row>
    <row r="371" spans="16:24" x14ac:dyDescent="0.55000000000000004">
      <c r="P371" s="20" t="s">
        <v>277</v>
      </c>
      <c r="R371">
        <v>0.54991999999999996</v>
      </c>
      <c r="T371">
        <v>61.2</v>
      </c>
      <c r="V371" s="22">
        <v>1.0640000000000001E-3</v>
      </c>
      <c r="X371" s="24">
        <v>6.9562500000000006E-4</v>
      </c>
    </row>
    <row r="372" spans="16:24" x14ac:dyDescent="0.55000000000000004">
      <c r="P372" s="20"/>
      <c r="X372" s="24">
        <v>4.1719444444444443E-3</v>
      </c>
    </row>
    <row r="373" spans="16:24" x14ac:dyDescent="0.55000000000000004">
      <c r="P373" s="20"/>
      <c r="X373" s="24">
        <v>4.8615162037037038E-3</v>
      </c>
    </row>
    <row r="374" spans="16:24" x14ac:dyDescent="0.55000000000000004">
      <c r="P374" s="20"/>
      <c r="X374" s="24">
        <v>5.5602662037037036E-3</v>
      </c>
    </row>
    <row r="375" spans="16:24" x14ac:dyDescent="0.55000000000000004">
      <c r="P375" s="20" t="s">
        <v>278</v>
      </c>
      <c r="R375">
        <v>0.55027000000000004</v>
      </c>
      <c r="T375">
        <v>59.5</v>
      </c>
      <c r="V375" s="22">
        <v>1.8259999999999999E-3</v>
      </c>
      <c r="X375" s="24">
        <v>6.956365740740741E-4</v>
      </c>
    </row>
    <row r="376" spans="16:24" x14ac:dyDescent="0.55000000000000004">
      <c r="P376" s="20"/>
      <c r="X376" s="24">
        <v>4.1732523148148145E-3</v>
      </c>
    </row>
    <row r="377" spans="16:24" x14ac:dyDescent="0.55000000000000004">
      <c r="P377" s="20"/>
      <c r="X377" s="24">
        <v>4.8615162037037038E-3</v>
      </c>
    </row>
    <row r="378" spans="16:24" x14ac:dyDescent="0.55000000000000004">
      <c r="P378" s="20"/>
      <c r="X378" s="24">
        <v>5.5589467592592591E-3</v>
      </c>
    </row>
    <row r="379" spans="16:24" x14ac:dyDescent="0.55000000000000004">
      <c r="P379" s="20" t="s">
        <v>223</v>
      </c>
      <c r="R379">
        <v>0.55508000000000002</v>
      </c>
      <c r="T379">
        <v>75</v>
      </c>
      <c r="V379" s="22">
        <v>1</v>
      </c>
      <c r="X379" s="24">
        <v>6.9574074074074069E-4</v>
      </c>
    </row>
    <row r="380" spans="16:24" x14ac:dyDescent="0.55000000000000004">
      <c r="P380" s="20"/>
      <c r="X380" s="24">
        <v>5.5658333333333324E-3</v>
      </c>
    </row>
  </sheetData>
  <mergeCells count="6">
    <mergeCell ref="F32:G32"/>
    <mergeCell ref="F11:G11"/>
    <mergeCell ref="C4:D4"/>
    <mergeCell ref="P5:Q5"/>
    <mergeCell ref="P6:Q6"/>
    <mergeCell ref="C25:D25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O29"/>
  <sheetViews>
    <sheetView workbookViewId="0">
      <selection activeCell="AF4" sqref="AF4"/>
    </sheetView>
  </sheetViews>
  <sheetFormatPr defaultRowHeight="14.4" x14ac:dyDescent="0.55000000000000004"/>
  <cols>
    <col min="1" max="1" width="5.26171875" bestFit="1" customWidth="1"/>
    <col min="2" max="2" width="8.41796875" bestFit="1" customWidth="1"/>
    <col min="3" max="3" width="11.15625" bestFit="1" customWidth="1"/>
    <col min="4" max="4" width="8" bestFit="1" customWidth="1"/>
    <col min="5" max="5" width="18" bestFit="1" customWidth="1"/>
    <col min="6" max="6" width="20.68359375" bestFit="1" customWidth="1"/>
    <col min="7" max="7" width="17.578125" bestFit="1" customWidth="1"/>
    <col min="8" max="8" width="4" bestFit="1" customWidth="1"/>
    <col min="9" max="9" width="42.41796875" bestFit="1" customWidth="1"/>
    <col min="13" max="13" width="31.41796875" bestFit="1" customWidth="1"/>
    <col min="14" max="14" width="7.15625" bestFit="1" customWidth="1"/>
    <col min="15" max="15" width="16.83984375" bestFit="1" customWidth="1"/>
  </cols>
  <sheetData>
    <row r="1" spans="1:15" x14ac:dyDescent="0.55000000000000004">
      <c r="A1" s="313" t="s">
        <v>29</v>
      </c>
      <c r="B1" s="314"/>
      <c r="C1" s="314"/>
      <c r="D1" s="314"/>
      <c r="E1" s="314"/>
      <c r="F1" s="314"/>
      <c r="G1" s="315"/>
      <c r="M1" s="316" t="s">
        <v>387</v>
      </c>
      <c r="N1" s="317"/>
      <c r="O1" s="318"/>
    </row>
    <row r="2" spans="1:15" x14ac:dyDescent="0.55000000000000004">
      <c r="A2" s="158" t="s">
        <v>376</v>
      </c>
      <c r="B2" s="158" t="s">
        <v>377</v>
      </c>
      <c r="C2" s="158" t="s">
        <v>378</v>
      </c>
      <c r="D2" s="158" t="s">
        <v>379</v>
      </c>
      <c r="E2" s="158" t="s">
        <v>380</v>
      </c>
      <c r="F2" s="158" t="s">
        <v>381</v>
      </c>
      <c r="G2" s="158" t="s">
        <v>382</v>
      </c>
      <c r="M2" s="162" t="s">
        <v>388</v>
      </c>
      <c r="N2" s="162"/>
      <c r="O2" s="162" t="s">
        <v>389</v>
      </c>
    </row>
    <row r="3" spans="1:15" x14ac:dyDescent="0.55000000000000004">
      <c r="A3" s="4">
        <v>1</v>
      </c>
      <c r="B3" s="5" t="s">
        <v>11</v>
      </c>
      <c r="C3" s="5" t="s">
        <v>10</v>
      </c>
      <c r="D3" s="6" t="s">
        <v>14</v>
      </c>
      <c r="E3" s="1">
        <v>1</v>
      </c>
      <c r="F3" s="1">
        <v>1</v>
      </c>
      <c r="G3" s="1">
        <v>1</v>
      </c>
      <c r="H3" s="159" t="s">
        <v>384</v>
      </c>
      <c r="I3" s="160" t="s">
        <v>383</v>
      </c>
      <c r="M3" s="164" t="s">
        <v>279</v>
      </c>
      <c r="N3" s="164" t="s">
        <v>394</v>
      </c>
      <c r="O3" s="163">
        <v>1</v>
      </c>
    </row>
    <row r="4" spans="1:15" x14ac:dyDescent="0.55000000000000004">
      <c r="A4" s="4">
        <v>2</v>
      </c>
      <c r="B4" s="5" t="s">
        <v>11</v>
      </c>
      <c r="C4" s="5" t="s">
        <v>7</v>
      </c>
      <c r="D4" s="6" t="s">
        <v>14</v>
      </c>
      <c r="E4" s="1">
        <v>1</v>
      </c>
      <c r="F4" s="1">
        <v>100</v>
      </c>
      <c r="G4" s="1">
        <v>1</v>
      </c>
      <c r="M4" s="164" t="s">
        <v>67</v>
      </c>
      <c r="N4" s="164" t="s">
        <v>66</v>
      </c>
      <c r="O4" s="163">
        <v>0.89800000000000002</v>
      </c>
    </row>
    <row r="5" spans="1:15" x14ac:dyDescent="0.55000000000000004">
      <c r="A5" s="4">
        <v>3</v>
      </c>
      <c r="B5" s="5" t="s">
        <v>11</v>
      </c>
      <c r="C5" s="5" t="s">
        <v>8</v>
      </c>
      <c r="D5" s="6" t="s">
        <v>14</v>
      </c>
      <c r="E5" s="1">
        <v>1</v>
      </c>
      <c r="F5" s="1">
        <v>1000</v>
      </c>
      <c r="G5" s="1">
        <v>1</v>
      </c>
      <c r="M5" s="164" t="s">
        <v>398</v>
      </c>
      <c r="N5" s="164" t="s">
        <v>395</v>
      </c>
      <c r="O5" s="163">
        <v>0.9</v>
      </c>
    </row>
    <row r="6" spans="1:15" x14ac:dyDescent="0.55000000000000004">
      <c r="A6" s="4">
        <v>4</v>
      </c>
      <c r="B6" s="5" t="s">
        <v>11</v>
      </c>
      <c r="C6" s="5" t="s">
        <v>10</v>
      </c>
      <c r="D6" s="6" t="s">
        <v>4</v>
      </c>
      <c r="E6" s="1">
        <v>1</v>
      </c>
      <c r="F6" s="1">
        <v>1</v>
      </c>
      <c r="G6" s="1">
        <v>60</v>
      </c>
      <c r="M6" s="164" t="s">
        <v>238</v>
      </c>
      <c r="N6" s="164" t="s">
        <v>396</v>
      </c>
      <c r="O6" s="163">
        <v>0.79700000000000004</v>
      </c>
    </row>
    <row r="7" spans="1:15" x14ac:dyDescent="0.55000000000000004">
      <c r="A7" s="4">
        <v>5</v>
      </c>
      <c r="B7" s="5" t="s">
        <v>11</v>
      </c>
      <c r="C7" s="5" t="s">
        <v>7</v>
      </c>
      <c r="D7" s="6" t="s">
        <v>4</v>
      </c>
      <c r="E7" s="1">
        <v>1</v>
      </c>
      <c r="F7" s="1">
        <v>100</v>
      </c>
      <c r="G7" s="1">
        <v>60</v>
      </c>
      <c r="M7" s="164" t="s">
        <v>399</v>
      </c>
      <c r="N7" s="164" t="s">
        <v>397</v>
      </c>
      <c r="O7" s="163">
        <v>0.78600000000000003</v>
      </c>
    </row>
    <row r="8" spans="1:15" x14ac:dyDescent="0.55000000000000004">
      <c r="A8" s="4">
        <v>6</v>
      </c>
      <c r="B8" s="5" t="s">
        <v>11</v>
      </c>
      <c r="C8" s="5" t="s">
        <v>8</v>
      </c>
      <c r="D8" s="6" t="s">
        <v>4</v>
      </c>
      <c r="E8" s="1">
        <v>1</v>
      </c>
      <c r="F8" s="1">
        <v>1000</v>
      </c>
      <c r="G8" s="1">
        <v>60</v>
      </c>
      <c r="M8" s="164"/>
      <c r="N8" s="164"/>
      <c r="O8" s="163"/>
    </row>
    <row r="9" spans="1:15" x14ac:dyDescent="0.55000000000000004">
      <c r="A9" s="4">
        <v>7</v>
      </c>
      <c r="B9" s="5" t="s">
        <v>11</v>
      </c>
      <c r="C9" s="5" t="s">
        <v>10</v>
      </c>
      <c r="D9" s="6" t="s">
        <v>9</v>
      </c>
      <c r="E9" s="1">
        <v>1</v>
      </c>
      <c r="F9" s="1">
        <v>1</v>
      </c>
      <c r="G9" s="1">
        <v>3600</v>
      </c>
      <c r="M9" s="164"/>
      <c r="N9" s="164"/>
      <c r="O9" s="163"/>
    </row>
    <row r="10" spans="1:15" x14ac:dyDescent="0.55000000000000004">
      <c r="A10" s="4">
        <v>8</v>
      </c>
      <c r="B10" s="5" t="s">
        <v>11</v>
      </c>
      <c r="C10" s="5" t="s">
        <v>7</v>
      </c>
      <c r="D10" s="6" t="s">
        <v>9</v>
      </c>
      <c r="E10" s="1">
        <v>1</v>
      </c>
      <c r="F10" s="1">
        <v>100</v>
      </c>
      <c r="G10" s="1">
        <v>3600</v>
      </c>
      <c r="M10" s="164"/>
      <c r="N10" s="164"/>
      <c r="O10" s="163"/>
    </row>
    <row r="11" spans="1:15" x14ac:dyDescent="0.55000000000000004">
      <c r="A11" s="4">
        <v>9</v>
      </c>
      <c r="B11" s="5" t="s">
        <v>11</v>
      </c>
      <c r="C11" s="5" t="s">
        <v>8</v>
      </c>
      <c r="D11" s="6" t="s">
        <v>9</v>
      </c>
      <c r="E11" s="1">
        <v>1</v>
      </c>
      <c r="F11" s="1">
        <v>1000</v>
      </c>
      <c r="G11" s="1">
        <v>3600</v>
      </c>
      <c r="M11" s="164"/>
      <c r="N11" s="164"/>
      <c r="O11" s="163"/>
    </row>
    <row r="12" spans="1:15" x14ac:dyDescent="0.55000000000000004">
      <c r="A12" s="4">
        <v>10</v>
      </c>
      <c r="B12" s="5" t="s">
        <v>3</v>
      </c>
      <c r="C12" s="5" t="s">
        <v>10</v>
      </c>
      <c r="D12" s="6" t="s">
        <v>14</v>
      </c>
      <c r="E12" s="1">
        <v>0.01</v>
      </c>
      <c r="F12" s="1">
        <v>1</v>
      </c>
      <c r="G12" s="1">
        <v>1</v>
      </c>
      <c r="M12" s="164"/>
      <c r="N12" s="164"/>
      <c r="O12" s="163"/>
    </row>
    <row r="13" spans="1:15" x14ac:dyDescent="0.55000000000000004">
      <c r="A13" s="4">
        <v>11</v>
      </c>
      <c r="B13" s="5" t="s">
        <v>3</v>
      </c>
      <c r="C13" s="5" t="s">
        <v>7</v>
      </c>
      <c r="D13" s="6" t="s">
        <v>14</v>
      </c>
      <c r="E13" s="1">
        <v>0.01</v>
      </c>
      <c r="F13" s="1">
        <v>100</v>
      </c>
      <c r="G13" s="1">
        <v>1</v>
      </c>
      <c r="M13" s="164"/>
      <c r="N13" s="164"/>
      <c r="O13" s="163"/>
    </row>
    <row r="14" spans="1:15" x14ac:dyDescent="0.55000000000000004">
      <c r="A14" s="4">
        <v>12</v>
      </c>
      <c r="B14" s="5" t="s">
        <v>3</v>
      </c>
      <c r="C14" s="5" t="s">
        <v>8</v>
      </c>
      <c r="D14" s="6" t="s">
        <v>14</v>
      </c>
      <c r="E14" s="1">
        <v>0.01</v>
      </c>
      <c r="F14" s="1">
        <v>1000</v>
      </c>
      <c r="G14" s="1">
        <v>1</v>
      </c>
      <c r="M14" s="164"/>
      <c r="N14" s="164"/>
      <c r="O14" s="163"/>
    </row>
    <row r="15" spans="1:15" x14ac:dyDescent="0.55000000000000004">
      <c r="A15" s="4">
        <v>13</v>
      </c>
      <c r="B15" s="5" t="s">
        <v>3</v>
      </c>
      <c r="C15" s="5" t="s">
        <v>10</v>
      </c>
      <c r="D15" s="6" t="s">
        <v>4</v>
      </c>
      <c r="E15" s="1">
        <v>0.01</v>
      </c>
      <c r="F15" s="1">
        <v>1</v>
      </c>
      <c r="G15" s="1">
        <v>60</v>
      </c>
      <c r="M15" s="164"/>
      <c r="N15" s="164"/>
      <c r="O15" s="163"/>
    </row>
    <row r="16" spans="1:15" x14ac:dyDescent="0.55000000000000004">
      <c r="A16" s="4">
        <v>14</v>
      </c>
      <c r="B16" s="5" t="s">
        <v>3</v>
      </c>
      <c r="C16" s="5" t="s">
        <v>7</v>
      </c>
      <c r="D16" s="6" t="s">
        <v>4</v>
      </c>
      <c r="E16" s="1">
        <v>0.01</v>
      </c>
      <c r="F16" s="1">
        <v>100</v>
      </c>
      <c r="G16" s="1">
        <v>60</v>
      </c>
      <c r="M16" s="164"/>
      <c r="N16" s="164"/>
      <c r="O16" s="163"/>
    </row>
    <row r="17" spans="1:15" x14ac:dyDescent="0.55000000000000004">
      <c r="A17" s="4">
        <v>15</v>
      </c>
      <c r="B17" s="5" t="s">
        <v>3</v>
      </c>
      <c r="C17" s="5" t="s">
        <v>8</v>
      </c>
      <c r="D17" s="6" t="s">
        <v>4</v>
      </c>
      <c r="E17" s="1">
        <v>0.01</v>
      </c>
      <c r="F17" s="1">
        <v>1000</v>
      </c>
      <c r="G17" s="1">
        <v>60</v>
      </c>
      <c r="M17" s="164"/>
      <c r="N17" s="164"/>
      <c r="O17" s="163"/>
    </row>
    <row r="18" spans="1:15" x14ac:dyDescent="0.55000000000000004">
      <c r="A18" s="4">
        <v>16</v>
      </c>
      <c r="B18" s="5" t="s">
        <v>3</v>
      </c>
      <c r="C18" s="5" t="s">
        <v>10</v>
      </c>
      <c r="D18" s="6" t="s">
        <v>9</v>
      </c>
      <c r="E18" s="1">
        <v>0.01</v>
      </c>
      <c r="F18" s="1">
        <v>1</v>
      </c>
      <c r="G18" s="1">
        <v>3600</v>
      </c>
      <c r="M18" s="164"/>
      <c r="N18" s="164"/>
      <c r="O18" s="163"/>
    </row>
    <row r="19" spans="1:15" x14ac:dyDescent="0.55000000000000004">
      <c r="A19" s="4">
        <v>17</v>
      </c>
      <c r="B19" s="5" t="s">
        <v>3</v>
      </c>
      <c r="C19" s="5" t="s">
        <v>7</v>
      </c>
      <c r="D19" s="6" t="s">
        <v>9</v>
      </c>
      <c r="E19" s="1">
        <v>0.01</v>
      </c>
      <c r="F19" s="1">
        <v>100</v>
      </c>
      <c r="G19" s="1">
        <v>3600</v>
      </c>
      <c r="M19" s="164"/>
      <c r="N19" s="164"/>
      <c r="O19" s="163"/>
    </row>
    <row r="20" spans="1:15" x14ac:dyDescent="0.55000000000000004">
      <c r="A20" s="4">
        <v>18</v>
      </c>
      <c r="B20" s="5" t="s">
        <v>3</v>
      </c>
      <c r="C20" s="5" t="s">
        <v>8</v>
      </c>
      <c r="D20" s="6" t="s">
        <v>9</v>
      </c>
      <c r="E20" s="1">
        <v>0.01</v>
      </c>
      <c r="F20" s="1">
        <v>1000</v>
      </c>
      <c r="G20" s="1">
        <v>3600</v>
      </c>
      <c r="M20" s="164"/>
      <c r="N20" s="164"/>
      <c r="O20" s="163"/>
    </row>
    <row r="21" spans="1:15" x14ac:dyDescent="0.55000000000000004">
      <c r="A21" s="4">
        <v>19</v>
      </c>
      <c r="B21" s="5" t="s">
        <v>17</v>
      </c>
      <c r="C21" s="5" t="s">
        <v>10</v>
      </c>
      <c r="D21" s="6" t="s">
        <v>14</v>
      </c>
      <c r="E21" s="1">
        <v>10</v>
      </c>
      <c r="F21" s="1">
        <v>1</v>
      </c>
      <c r="G21" s="1">
        <v>1</v>
      </c>
      <c r="M21" s="164"/>
      <c r="N21" s="164"/>
      <c r="O21" s="163"/>
    </row>
    <row r="22" spans="1:15" x14ac:dyDescent="0.55000000000000004">
      <c r="A22" s="4">
        <v>20</v>
      </c>
      <c r="B22" s="5" t="s">
        <v>17</v>
      </c>
      <c r="C22" s="5" t="s">
        <v>7</v>
      </c>
      <c r="D22" s="6" t="s">
        <v>14</v>
      </c>
      <c r="E22" s="1">
        <v>10</v>
      </c>
      <c r="F22" s="1">
        <v>100</v>
      </c>
      <c r="G22" s="1">
        <v>1</v>
      </c>
      <c r="M22" s="164"/>
      <c r="N22" s="164"/>
      <c r="O22" s="163"/>
    </row>
    <row r="23" spans="1:15" x14ac:dyDescent="0.55000000000000004">
      <c r="A23" s="4">
        <v>21</v>
      </c>
      <c r="B23" s="5" t="s">
        <v>17</v>
      </c>
      <c r="C23" s="5" t="s">
        <v>8</v>
      </c>
      <c r="D23" s="6" t="s">
        <v>14</v>
      </c>
      <c r="E23" s="1">
        <v>10</v>
      </c>
      <c r="F23" s="1">
        <v>1000</v>
      </c>
      <c r="G23" s="1">
        <v>1</v>
      </c>
      <c r="M23" s="164"/>
      <c r="N23" s="164"/>
      <c r="O23" s="163"/>
    </row>
    <row r="24" spans="1:15" x14ac:dyDescent="0.55000000000000004">
      <c r="A24" s="4">
        <v>22</v>
      </c>
      <c r="B24" s="5" t="s">
        <v>17</v>
      </c>
      <c r="C24" s="5" t="s">
        <v>10</v>
      </c>
      <c r="D24" s="6" t="s">
        <v>4</v>
      </c>
      <c r="E24" s="1">
        <v>10</v>
      </c>
      <c r="F24" s="1">
        <v>1</v>
      </c>
      <c r="G24" s="1">
        <v>60</v>
      </c>
      <c r="M24" s="164"/>
      <c r="N24" s="164"/>
      <c r="O24" s="163"/>
    </row>
    <row r="25" spans="1:15" x14ac:dyDescent="0.55000000000000004">
      <c r="A25" s="4">
        <v>23</v>
      </c>
      <c r="B25" s="5" t="s">
        <v>17</v>
      </c>
      <c r="C25" s="5" t="s">
        <v>7</v>
      </c>
      <c r="D25" s="6" t="s">
        <v>4</v>
      </c>
      <c r="E25" s="1">
        <v>10</v>
      </c>
      <c r="F25" s="1">
        <v>100</v>
      </c>
      <c r="G25" s="1">
        <v>60</v>
      </c>
      <c r="M25" s="164"/>
      <c r="N25" s="164"/>
      <c r="O25" s="163"/>
    </row>
    <row r="26" spans="1:15" x14ac:dyDescent="0.55000000000000004">
      <c r="A26" s="4">
        <v>24</v>
      </c>
      <c r="B26" s="5" t="s">
        <v>17</v>
      </c>
      <c r="C26" s="5" t="s">
        <v>8</v>
      </c>
      <c r="D26" s="6" t="s">
        <v>4</v>
      </c>
      <c r="E26" s="1">
        <v>10</v>
      </c>
      <c r="F26" s="1">
        <v>1000</v>
      </c>
      <c r="G26" s="1">
        <v>60</v>
      </c>
      <c r="M26" s="164"/>
      <c r="N26" s="164"/>
      <c r="O26" s="163"/>
    </row>
    <row r="27" spans="1:15" x14ac:dyDescent="0.55000000000000004">
      <c r="A27" s="4">
        <v>25</v>
      </c>
      <c r="B27" s="5" t="s">
        <v>17</v>
      </c>
      <c r="C27" s="5" t="s">
        <v>10</v>
      </c>
      <c r="D27" s="6" t="s">
        <v>9</v>
      </c>
      <c r="E27" s="1">
        <v>10</v>
      </c>
      <c r="F27" s="1">
        <v>1</v>
      </c>
      <c r="G27" s="1">
        <v>3600</v>
      </c>
      <c r="M27" s="164"/>
      <c r="N27" s="164"/>
      <c r="O27" s="163"/>
    </row>
    <row r="28" spans="1:15" x14ac:dyDescent="0.55000000000000004">
      <c r="A28" s="4">
        <v>26</v>
      </c>
      <c r="B28" s="5" t="s">
        <v>17</v>
      </c>
      <c r="C28" s="5" t="s">
        <v>7</v>
      </c>
      <c r="D28" s="6" t="s">
        <v>9</v>
      </c>
      <c r="E28" s="1">
        <v>10</v>
      </c>
      <c r="F28" s="1">
        <v>100</v>
      </c>
      <c r="G28" s="1">
        <v>3600</v>
      </c>
      <c r="M28" s="164"/>
      <c r="N28" s="164"/>
      <c r="O28" s="163"/>
    </row>
    <row r="29" spans="1:15" x14ac:dyDescent="0.55000000000000004">
      <c r="A29" s="4">
        <v>27</v>
      </c>
      <c r="B29" s="5" t="s">
        <v>17</v>
      </c>
      <c r="C29" s="5" t="s">
        <v>8</v>
      </c>
      <c r="D29" s="6" t="s">
        <v>9</v>
      </c>
      <c r="E29" s="1">
        <v>10</v>
      </c>
      <c r="F29" s="1">
        <v>1000</v>
      </c>
      <c r="G29" s="1">
        <v>3600</v>
      </c>
      <c r="M29" s="164"/>
      <c r="N29" s="164"/>
      <c r="O29" s="163"/>
    </row>
  </sheetData>
  <mergeCells count="2">
    <mergeCell ref="A1:G1"/>
    <mergeCell ref="M1:O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"/>
  <dimension ref="A1:AU63"/>
  <sheetViews>
    <sheetView topLeftCell="B1" zoomScaleNormal="100" workbookViewId="0">
      <selection activeCell="AF4" sqref="AF4"/>
    </sheetView>
  </sheetViews>
  <sheetFormatPr defaultColWidth="9.15625" defaultRowHeight="10.5" x14ac:dyDescent="0.4"/>
  <cols>
    <col min="1" max="1" width="2.68359375" style="124" bestFit="1" customWidth="1"/>
    <col min="2" max="2" width="44.68359375" style="124" customWidth="1"/>
    <col min="3" max="3" width="8.578125" style="124" bestFit="1" customWidth="1"/>
    <col min="4" max="4" width="10.578125" style="124" bestFit="1" customWidth="1"/>
    <col min="5" max="5" width="20.15625" style="124" bestFit="1" customWidth="1"/>
    <col min="6" max="6" width="20.68359375" style="124" bestFit="1" customWidth="1"/>
    <col min="7" max="7" width="14.578125" style="124" bestFit="1" customWidth="1"/>
    <col min="8" max="8" width="8.68359375" style="124" bestFit="1" customWidth="1"/>
    <col min="9" max="9" width="10.26171875" style="124" bestFit="1" customWidth="1"/>
    <col min="10" max="10" width="10.83984375" style="124" bestFit="1" customWidth="1"/>
    <col min="11" max="11" width="12.578125" style="124" bestFit="1" customWidth="1"/>
    <col min="12" max="12" width="15.578125" style="124" bestFit="1" customWidth="1"/>
    <col min="13" max="13" width="13.15625" style="124" bestFit="1" customWidth="1"/>
    <col min="14" max="14" width="16" style="124" bestFit="1" customWidth="1"/>
    <col min="15" max="15" width="20.83984375" style="124" bestFit="1" customWidth="1"/>
    <col min="16" max="16" width="12.15625" style="124" bestFit="1" customWidth="1"/>
    <col min="17" max="23" width="2" style="124" customWidth="1"/>
    <col min="24" max="24" width="2.68359375" style="124" bestFit="1" customWidth="1"/>
    <col min="25" max="25" width="45" style="124" bestFit="1" customWidth="1"/>
    <col min="26" max="26" width="3.41796875" style="124" bestFit="1" customWidth="1"/>
    <col min="27" max="27" width="2" style="124" customWidth="1"/>
    <col min="28" max="28" width="14.83984375" style="124" bestFit="1" customWidth="1"/>
    <col min="29" max="30" width="9.15625" style="124"/>
    <col min="31" max="32" width="15.68359375" style="124" bestFit="1" customWidth="1"/>
    <col min="33" max="33" width="19.68359375" style="124" bestFit="1" customWidth="1"/>
    <col min="34" max="34" width="20" style="124" bestFit="1" customWidth="1"/>
    <col min="35" max="35" width="1.41796875" style="124" customWidth="1"/>
    <col min="36" max="36" width="6.578125" style="124" bestFit="1" customWidth="1"/>
    <col min="37" max="37" width="6.26171875" style="124" bestFit="1" customWidth="1"/>
    <col min="38" max="38" width="6.15625" style="124" bestFit="1" customWidth="1"/>
    <col min="39" max="39" width="21.68359375" style="124" bestFit="1" customWidth="1"/>
    <col min="40" max="41" width="2.15625" style="124" customWidth="1"/>
    <col min="42" max="42" width="9" style="124" bestFit="1" customWidth="1"/>
    <col min="43" max="43" width="8.578125" style="124" bestFit="1" customWidth="1"/>
    <col min="44" max="44" width="8" style="124" bestFit="1" customWidth="1"/>
    <col min="45" max="45" width="11.26171875" style="124" bestFit="1" customWidth="1"/>
    <col min="46" max="46" width="7.68359375" style="124" bestFit="1" customWidth="1"/>
    <col min="47" max="47" width="5.26171875" style="124" bestFit="1" customWidth="1"/>
    <col min="48" max="68" width="9.15625" style="124"/>
    <col min="69" max="69" width="1.68359375" style="124" customWidth="1"/>
    <col min="70" max="70" width="14.68359375" style="124" bestFit="1" customWidth="1"/>
    <col min="71" max="71" width="16.26171875" style="124" customWidth="1"/>
    <col min="72" max="72" width="12.15625" style="124" customWidth="1"/>
    <col min="73" max="73" width="7.578125" style="124" bestFit="1" customWidth="1"/>
    <col min="74" max="74" width="18.578125" style="124" customWidth="1"/>
    <col min="75" max="75" width="16.26171875" style="124" customWidth="1"/>
    <col min="76" max="76" width="4.83984375" style="124" bestFit="1" customWidth="1"/>
    <col min="77" max="77" width="9.15625" style="124"/>
    <col min="78" max="78" width="6.26171875" style="124" customWidth="1"/>
    <col min="79" max="16384" width="9.15625" style="124"/>
  </cols>
  <sheetData>
    <row r="1" spans="1:47" ht="22.5" customHeight="1" thickBot="1" x14ac:dyDescent="0.45">
      <c r="X1" s="157" t="s">
        <v>354</v>
      </c>
      <c r="Y1" s="128" t="s">
        <v>353</v>
      </c>
      <c r="Z1" s="157" t="s">
        <v>362</v>
      </c>
    </row>
    <row r="2" spans="1:47" ht="10.8" thickTop="1" x14ac:dyDescent="0.4">
      <c r="B2" s="133"/>
      <c r="C2" s="134"/>
      <c r="D2" s="134"/>
      <c r="E2" s="153" t="s">
        <v>358</v>
      </c>
      <c r="F2" s="153" t="s">
        <v>359</v>
      </c>
      <c r="G2" s="134"/>
      <c r="H2" s="134"/>
      <c r="I2" s="134"/>
      <c r="J2" s="134"/>
      <c r="K2" s="135"/>
      <c r="L2" s="135"/>
      <c r="M2" s="135"/>
      <c r="N2" s="135"/>
      <c r="O2" s="153" t="s">
        <v>360</v>
      </c>
      <c r="P2" s="136"/>
      <c r="X2" s="132">
        <v>0</v>
      </c>
      <c r="Y2" s="132" t="s">
        <v>374</v>
      </c>
      <c r="Z2" s="132">
        <v>0</v>
      </c>
      <c r="AB2" s="124" t="s">
        <v>371</v>
      </c>
    </row>
    <row r="3" spans="1:47" ht="14.1" customHeight="1" x14ac:dyDescent="0.45">
      <c r="B3" s="137"/>
      <c r="C3" s="138"/>
      <c r="D3" s="138"/>
      <c r="E3" s="154">
        <v>7.8</v>
      </c>
      <c r="F3" s="154">
        <v>0.4</v>
      </c>
      <c r="G3" s="138"/>
      <c r="H3" s="138"/>
      <c r="I3" s="138"/>
      <c r="J3" s="138"/>
      <c r="K3" s="139"/>
      <c r="L3" s="139"/>
      <c r="M3" s="139"/>
      <c r="N3" s="139"/>
      <c r="O3" s="154">
        <v>0.36</v>
      </c>
      <c r="P3" s="140"/>
      <c r="X3" s="132">
        <v>1</v>
      </c>
      <c r="Y3" s="132" t="s">
        <v>356</v>
      </c>
      <c r="Z3" s="132">
        <v>1</v>
      </c>
      <c r="AB3" s="124" t="s">
        <v>372</v>
      </c>
      <c r="AF3" s="166" t="s">
        <v>408</v>
      </c>
    </row>
    <row r="4" spans="1:47" ht="11.7" x14ac:dyDescent="0.45">
      <c r="B4" s="137"/>
      <c r="C4" s="138"/>
      <c r="D4" s="138"/>
      <c r="E4" s="156"/>
      <c r="F4" s="156"/>
      <c r="G4" s="138"/>
      <c r="H4" s="138"/>
      <c r="I4" s="138"/>
      <c r="J4" s="138"/>
      <c r="K4" s="139"/>
      <c r="L4" s="139"/>
      <c r="M4" s="139"/>
      <c r="N4" s="139"/>
      <c r="O4" s="154">
        <v>72</v>
      </c>
      <c r="P4" s="140"/>
      <c r="X4" s="132">
        <v>2</v>
      </c>
      <c r="Y4" s="132" t="s">
        <v>343</v>
      </c>
      <c r="Z4" s="132">
        <v>1</v>
      </c>
      <c r="AB4" s="124" t="s">
        <v>373</v>
      </c>
      <c r="AE4" s="166" t="s">
        <v>407</v>
      </c>
      <c r="AF4" s="166">
        <f>TID_test_plan!F13</f>
        <v>11</v>
      </c>
    </row>
    <row r="5" spans="1:47" ht="12.9" x14ac:dyDescent="0.5">
      <c r="B5" s="152" t="s">
        <v>361</v>
      </c>
      <c r="C5" s="141">
        <v>9</v>
      </c>
      <c r="D5" s="141">
        <v>8</v>
      </c>
      <c r="E5" s="155">
        <v>7</v>
      </c>
      <c r="F5" s="155">
        <v>6</v>
      </c>
      <c r="G5" s="141">
        <v>5</v>
      </c>
      <c r="H5" s="141">
        <v>5</v>
      </c>
      <c r="I5" s="141">
        <v>4</v>
      </c>
      <c r="J5" s="141">
        <v>4</v>
      </c>
      <c r="K5" s="141">
        <v>3</v>
      </c>
      <c r="L5" s="141">
        <v>2</v>
      </c>
      <c r="M5" s="141">
        <v>3</v>
      </c>
      <c r="N5" s="141">
        <v>2</v>
      </c>
      <c r="O5" s="155">
        <v>1</v>
      </c>
      <c r="P5" s="142"/>
      <c r="X5" s="132">
        <v>3</v>
      </c>
      <c r="Y5" s="132" t="s">
        <v>342</v>
      </c>
      <c r="Z5" s="132">
        <v>2</v>
      </c>
      <c r="AE5" s="166" t="s">
        <v>385</v>
      </c>
      <c r="AF5" s="166" t="s">
        <v>386</v>
      </c>
      <c r="AG5" s="167" t="s">
        <v>392</v>
      </c>
      <c r="AH5" s="167" t="s">
        <v>393</v>
      </c>
      <c r="AI5" s="167"/>
      <c r="AJ5" s="319" t="s">
        <v>405</v>
      </c>
      <c r="AK5" s="319"/>
      <c r="AL5" s="168" t="s">
        <v>406</v>
      </c>
      <c r="AM5" s="167" t="s">
        <v>401</v>
      </c>
      <c r="AN5" s="167"/>
      <c r="AO5" s="167"/>
      <c r="AP5" s="170" t="s">
        <v>390</v>
      </c>
      <c r="AQ5" s="170" t="s">
        <v>391</v>
      </c>
      <c r="AR5" s="170" t="s">
        <v>379</v>
      </c>
      <c r="AS5" s="170" t="s">
        <v>378</v>
      </c>
      <c r="AT5" s="171" t="s">
        <v>388</v>
      </c>
      <c r="AU5" s="171" t="s">
        <v>400</v>
      </c>
    </row>
    <row r="6" spans="1:47" ht="10.5" customHeight="1" x14ac:dyDescent="0.4">
      <c r="B6" s="143" t="s">
        <v>20</v>
      </c>
      <c r="C6" s="123" t="s">
        <v>375</v>
      </c>
      <c r="D6" s="123" t="s">
        <v>24</v>
      </c>
      <c r="E6" s="123" t="str">
        <f>"D.R. to low (distance&gt; "&amp;E3&amp;" m)"</f>
        <v>D.R. to low (distance&gt; 7.8 m)</v>
      </c>
      <c r="F6" s="123" t="str">
        <f>"D.R. to High (distance&lt; "&amp;F3&amp;" m)"</f>
        <v>D.R. to High (distance&lt; 0.4 m)</v>
      </c>
      <c r="G6" s="123" t="s">
        <v>352</v>
      </c>
      <c r="H6" s="123" t="s">
        <v>351</v>
      </c>
      <c r="I6" s="123" t="s">
        <v>349</v>
      </c>
      <c r="J6" s="123" t="s">
        <v>350</v>
      </c>
      <c r="K6" s="123" t="s">
        <v>367</v>
      </c>
      <c r="L6" s="123" t="s">
        <v>369</v>
      </c>
      <c r="M6" s="123" t="s">
        <v>368</v>
      </c>
      <c r="N6" s="123" t="s">
        <v>370</v>
      </c>
      <c r="O6" s="123" t="s">
        <v>355</v>
      </c>
      <c r="P6" s="144" t="s">
        <v>357</v>
      </c>
      <c r="X6" s="132">
        <v>4</v>
      </c>
      <c r="Y6" s="132" t="s">
        <v>341</v>
      </c>
      <c r="Z6" s="132">
        <v>2</v>
      </c>
      <c r="AJ6" s="169" t="s">
        <v>403</v>
      </c>
      <c r="AK6" s="169" t="s">
        <v>404</v>
      </c>
      <c r="AL6" s="169" t="s">
        <v>402</v>
      </c>
      <c r="AT6" s="130"/>
      <c r="AU6" s="130"/>
    </row>
    <row r="7" spans="1:47" ht="10.5" customHeight="1" x14ac:dyDescent="0.4">
      <c r="A7" s="124">
        <v>1</v>
      </c>
      <c r="B7" s="137" t="str">
        <f t="shared" ref="B7:B18" si="0">IF(VLOOKUP(MAX($C7:$P7),Warning_messages,2,FALSE)=0,"",VLOOKUP(MAX($C7:$P7),Warning_messages,2,FALSE))</f>
        <v>-</v>
      </c>
      <c r="C7" s="124">
        <f>IF(OR(TID_test_plan!F27="",TID_test_plan!F27=0),C$5,0)</f>
        <v>0</v>
      </c>
      <c r="D7" s="124">
        <f>IF(TID_test_plan!F27&lt;TID_test_plan!F26,D$5,0)</f>
        <v>0</v>
      </c>
      <c r="E7" s="124">
        <f>IF(AK7,E$5,0)</f>
        <v>0</v>
      </c>
      <c r="F7" s="124">
        <f>IF(AJ7,F$5,0)</f>
        <v>0</v>
      </c>
      <c r="G7" s="124">
        <f>IF(ISERROR(VLOOKUP(TRUNC(TID_test_plan!N27,0),Public_Holidays,1,FALSE)),0,G$5)</f>
        <v>0</v>
      </c>
      <c r="H7" s="124">
        <f>IF(ISERROR(VLOOKUP(TRUNC(TID_test_plan!Q27,0),Public_Holidays,1,FALSE)),0,H$5)</f>
        <v>0</v>
      </c>
      <c r="I7" s="124">
        <f>IF(TID_test_plan!N27="",0,IF((VLOOKUP(WEEKDAY(TID_test_plan!N27),work_days,8,FALSE)),I$5,0))</f>
        <v>0</v>
      </c>
      <c r="J7" s="124">
        <f>IF(TID_test_plan!Q27="",0,IF((VLOOKUP(WEEKDAY(TID_test_plan!Q27),work_days,8,FALSE)),J$5,0))</f>
        <v>0</v>
      </c>
      <c r="K7" s="124">
        <f>IF(TID_test_plan!N27="",0,IF(AND((TID_test_plan!N27-TRUNC(TID_test_plan!N27))&gt;VLOOKUP(WEEKDAY(TID_test_plan!N27),work_days,4,FALSE),(TID_test_plan!N27-TRUNC(TID_test_plan!N27))&lt;VLOOKUP(WEEKDAY(TID_test_plan!N27),work_days,7,FALSE)),0,K$5))</f>
        <v>0</v>
      </c>
      <c r="L7" s="124">
        <f>IF(TID_test_plan!N27="",0,IF(AND((TID_test_plan!N27-TRUNC(TID_test_plan!N27))&gt;VLOOKUP(WEEKDAY(TID_test_plan!N27),work_days,5,FALSE),(TID_test_plan!N27-TRUNC(TID_test_plan!N27))&lt;VLOOKUP(WEEKDAY(TID_test_plan!N27),work_days,6,FALSE)),0,L$5))</f>
        <v>0</v>
      </c>
      <c r="M7" s="124">
        <f>IF(TID_test_plan!Q27="",0,IF(AND((TID_test_plan!Q27-TRUNC(TID_test_plan!Q27))&gt;VLOOKUP(WEEKDAY(TID_test_plan!Q27),work_days,4,FALSE),(TID_test_plan!Q27-TRUNC(TID_test_plan!Q27))&lt;VLOOKUP(WEEKDAY(TID_test_plan!Q27),work_days,7,FALSE)),0,M$5))</f>
        <v>0</v>
      </c>
      <c r="N7" s="124">
        <f>IF(TID_test_plan!Q27="",0,IF(AND((TID_test_plan!Q27-TRUNC(TID_test_plan!Q27))&gt;VLOOKUP(WEEKDAY(TID_test_plan!Q27),work_days,5,FALSE),(TID_test_plan!Q27-TRUNC(TID_test_plan!Q27))&lt;VLOOKUP(WEEKDAY(TID_test_plan!Q27),work_days,6,FALSE)),0,N$5))</f>
        <v>0</v>
      </c>
      <c r="O7" s="124" t="str">
        <f>IF((TID_test_plan!H27=""),0,IF(AL7,$O$5,""))</f>
        <v/>
      </c>
      <c r="P7" s="145"/>
      <c r="X7" s="132">
        <v>5</v>
      </c>
      <c r="Y7" s="132" t="s">
        <v>340</v>
      </c>
      <c r="Z7" s="132">
        <v>2</v>
      </c>
      <c r="AE7" s="161">
        <f>TID_test_plan!N27</f>
        <v>46027.395833333336</v>
      </c>
      <c r="AF7" s="161">
        <f>TID_test_plan!Q27</f>
        <v>46028.553240740745</v>
      </c>
      <c r="AG7" s="124">
        <f t="shared" ref="AG7:AG18" si="1">IF(AF7="","",(self_absorption_coefficient*Co60constant*(Activity_at_reload_date*EXP(-LN(2)/(half_life)*(AF7-Date_of_reload)*(24*3600))))/((E$3)^2))</f>
        <v>0.2474540210974964</v>
      </c>
      <c r="AH7" s="124">
        <f t="shared" ref="AH7:AH18" si="2">IF(AE7="","",(self_absorption_coefficient*Co60constant*(Activity_at_reload_date*EXP(-LN(2)/(half_life)*(AE7-Date_of_reload)*(24*3600))))/((F$3)^2))</f>
        <v>94.133608312501124</v>
      </c>
      <c r="AJ7" s="124" t="b">
        <f>AM7&gt;AH7</f>
        <v>0</v>
      </c>
      <c r="AK7" s="124" t="b">
        <f t="shared" ref="AK7:AK18" si="3">AM7&lt;AG7</f>
        <v>0</v>
      </c>
      <c r="AL7" s="124" t="b">
        <f>IF(AM7="",FALSE,OR(AM7&gt;$O$4,AM7&lt;$O$3))</f>
        <v>0</v>
      </c>
      <c r="AM7" s="165">
        <f t="shared" ref="AM7:AM18" si="4">IF(AP7="","",AP7*VLOOKUP($AF$4,convert_units,5,FALSE)*VLOOKUP($AF$4,convert_units,7,FALSE)/VLOOKUP(AT7,material_CF,2,FALSE))</f>
        <v>4.0089086859688194</v>
      </c>
      <c r="AP7" s="124">
        <f>TID_test_plan!H27</f>
        <v>360</v>
      </c>
      <c r="AQ7" s="124" t="str">
        <f>VLOOKUP(TID_test_plan!$F$13,convert_units,2,FALSE)</f>
        <v>rad</v>
      </c>
      <c r="AR7" s="124" t="str">
        <f>VLOOKUP(TID_test_plan!$F$13,convert_units,4,FALSE)</f>
        <v>hrs</v>
      </c>
      <c r="AS7" s="124" t="str">
        <f>VLOOKUP(TID_test_plan!$F$13,convert_units,3,FALSE)</f>
        <v>cm</v>
      </c>
      <c r="AT7" s="130" t="s">
        <v>66</v>
      </c>
      <c r="AU7" s="130">
        <f t="shared" ref="AU7:AU18" si="5">VLOOKUP(AT7,material_CF,2,FALSE)</f>
        <v>0.89800000000000002</v>
      </c>
    </row>
    <row r="8" spans="1:47" ht="10.5" customHeight="1" x14ac:dyDescent="0.4">
      <c r="A8" s="124">
        <v>2</v>
      </c>
      <c r="B8" s="137" t="str">
        <f t="shared" si="0"/>
        <v>please fill in:  Target TID, [target dose rate]</v>
      </c>
      <c r="C8" s="124">
        <f>IF(OR(TID_test_plan!F28="",TID_test_plan!F28=0),C$5,0)</f>
        <v>9</v>
      </c>
      <c r="D8" s="124">
        <f>IF(TID_test_plan!F28&lt;TID_test_plan!F27,D$5,0)</f>
        <v>8</v>
      </c>
      <c r="E8" s="124">
        <f t="shared" ref="E8:E18" si="6">IF(AK8,E$5,0)</f>
        <v>0</v>
      </c>
      <c r="F8" s="124">
        <f t="shared" ref="F8:F18" si="7">IF(AJ8,F$5,0)</f>
        <v>0</v>
      </c>
      <c r="G8" s="124">
        <f>IF(ISERROR(VLOOKUP(TRUNC(TID_test_plan!N28,0),Public_Holidays,1,FALSE)),0,G$5)</f>
        <v>0</v>
      </c>
      <c r="H8" s="124">
        <f>IF(ISERROR(VLOOKUP(TRUNC(TID_test_plan!Q28,0),Public_Holidays,1,FALSE)),0,H$5)</f>
        <v>0</v>
      </c>
      <c r="I8" s="124">
        <f>IF(TID_test_plan!N28="",0,IF((VLOOKUP(WEEKDAY(TID_test_plan!N28),work_days,8,FALSE)),I$5,0))</f>
        <v>0</v>
      </c>
      <c r="J8" s="124">
        <f>IF(TID_test_plan!Q28="",0,IF((VLOOKUP(WEEKDAY(TID_test_plan!Q28),work_days,8,FALSE)),J$5,0))</f>
        <v>0</v>
      </c>
      <c r="K8" s="124">
        <f>IF(TID_test_plan!N28="",0,IF(AND((TID_test_plan!N28-TRUNC(TID_test_plan!N28))&gt;VLOOKUP(WEEKDAY(TID_test_plan!N28),work_days,4,FALSE),(TID_test_plan!N28-TRUNC(TID_test_plan!N28))&lt;VLOOKUP(WEEKDAY(TID_test_plan!N28),work_days,7,FALSE)),0,K$5))</f>
        <v>0</v>
      </c>
      <c r="L8" s="124">
        <f>IF(TID_test_plan!N28="",0,IF(AND((TID_test_plan!N28-TRUNC(TID_test_plan!N28))&gt;VLOOKUP(WEEKDAY(TID_test_plan!N28),work_days,5,FALSE),(TID_test_plan!N28-TRUNC(TID_test_plan!N28))&lt;VLOOKUP(WEEKDAY(TID_test_plan!N28),work_days,6,FALSE)),0,L$5))</f>
        <v>0</v>
      </c>
      <c r="M8" s="124">
        <f>IF(TID_test_plan!Q28="",0,IF(AND((TID_test_plan!Q28-TRUNC(TID_test_plan!Q28))&gt;VLOOKUP(WEEKDAY(TID_test_plan!Q28),work_days,4,FALSE),(TID_test_plan!Q28-TRUNC(TID_test_plan!Q28))&lt;VLOOKUP(WEEKDAY(TID_test_plan!Q28),work_days,7,FALSE)),0,M$5))</f>
        <v>0</v>
      </c>
      <c r="N8" s="124">
        <f>IF(TID_test_plan!Q28="",0,IF(AND((TID_test_plan!Q28-TRUNC(TID_test_plan!Q28))&gt;VLOOKUP(WEEKDAY(TID_test_plan!Q28),work_days,5,FALSE),(TID_test_plan!Q28-TRUNC(TID_test_plan!Q28))&lt;VLOOKUP(WEEKDAY(TID_test_plan!Q28),work_days,6,FALSE)),0,N$5))</f>
        <v>0</v>
      </c>
      <c r="O8" s="124">
        <f>IF((TID_test_plan!H28=""),0,IF(AL8,$O$5,""))</f>
        <v>0</v>
      </c>
      <c r="P8" s="145"/>
      <c r="X8" s="132">
        <v>6</v>
      </c>
      <c r="Y8" s="132" t="s">
        <v>346</v>
      </c>
      <c r="Z8" s="132">
        <v>2</v>
      </c>
      <c r="AE8" s="161" t="str">
        <f>TID_test_plan!N28</f>
        <v/>
      </c>
      <c r="AF8" s="161" t="str">
        <f>TID_test_plan!Q28</f>
        <v/>
      </c>
      <c r="AG8" s="124" t="str">
        <f t="shared" si="1"/>
        <v/>
      </c>
      <c r="AH8" s="124" t="str">
        <f t="shared" si="2"/>
        <v/>
      </c>
      <c r="AJ8" s="124" t="b">
        <f t="shared" ref="AJ8:AJ18" si="8">AM8&gt;AH8</f>
        <v>0</v>
      </c>
      <c r="AK8" s="124" t="b">
        <f t="shared" si="3"/>
        <v>0</v>
      </c>
      <c r="AL8" s="124" t="b">
        <f t="shared" ref="AL8:AL18" si="9">IF(AM8="",FALSE,OR(AM8&gt;$O$4,AM8&lt;$O$3))</f>
        <v>0</v>
      </c>
      <c r="AM8" s="165" t="str">
        <f t="shared" si="4"/>
        <v/>
      </c>
      <c r="AP8" s="124" t="str">
        <f>TID_test_plan!H28</f>
        <v/>
      </c>
      <c r="AQ8" s="124" t="str">
        <f>VLOOKUP(TID_test_plan!$F$13,convert_units,2,FALSE)</f>
        <v>rad</v>
      </c>
      <c r="AR8" s="124" t="str">
        <f>VLOOKUP(TID_test_plan!$F$13,convert_units,4,FALSE)</f>
        <v>hrs</v>
      </c>
      <c r="AS8" s="124" t="str">
        <f>VLOOKUP(TID_test_plan!$F$13,convert_units,3,FALSE)</f>
        <v>cm</v>
      </c>
      <c r="AT8" s="130" t="s">
        <v>66</v>
      </c>
      <c r="AU8" s="130">
        <f t="shared" si="5"/>
        <v>0.89800000000000002</v>
      </c>
    </row>
    <row r="9" spans="1:47" x14ac:dyDescent="0.4">
      <c r="A9" s="124">
        <v>3</v>
      </c>
      <c r="B9" s="137" t="str">
        <f t="shared" si="0"/>
        <v>please fill in:  Target TID, [target dose rate]</v>
      </c>
      <c r="C9" s="124">
        <f>IF(OR(TID_test_plan!F29="",TID_test_plan!F29=0),C$5,0)</f>
        <v>9</v>
      </c>
      <c r="D9" s="124">
        <f>IF(TID_test_plan!F29&lt;TID_test_plan!F28,D$5,0)</f>
        <v>0</v>
      </c>
      <c r="E9" s="124">
        <f t="shared" si="6"/>
        <v>0</v>
      </c>
      <c r="F9" s="124">
        <f t="shared" si="7"/>
        <v>0</v>
      </c>
      <c r="G9" s="124">
        <f>IF(ISERROR(VLOOKUP(TRUNC(TID_test_plan!N29,0),Public_Holidays,1,FALSE)),0,G$5)</f>
        <v>0</v>
      </c>
      <c r="H9" s="124">
        <f>IF(ISERROR(VLOOKUP(TRUNC(TID_test_plan!Q29,0),Public_Holidays,1,FALSE)),0,H$5)</f>
        <v>0</v>
      </c>
      <c r="I9" s="124">
        <f>IF(TID_test_plan!N29="",0,IF((VLOOKUP(WEEKDAY(TID_test_plan!N29),work_days,8,FALSE)),I$5,0))</f>
        <v>0</v>
      </c>
      <c r="J9" s="124">
        <f>IF(TID_test_plan!Q29="",0,IF((VLOOKUP(WEEKDAY(TID_test_plan!Q29),work_days,8,FALSE)),J$5,0))</f>
        <v>0</v>
      </c>
      <c r="K9" s="124">
        <f>IF(TID_test_plan!N29="",0,IF(AND((TID_test_plan!N29-TRUNC(TID_test_plan!N29))&gt;VLOOKUP(WEEKDAY(TID_test_plan!N29),work_days,4,FALSE),(TID_test_plan!N29-TRUNC(TID_test_plan!N29))&lt;VLOOKUP(WEEKDAY(TID_test_plan!N29),work_days,7,FALSE)),0,K$5))</f>
        <v>0</v>
      </c>
      <c r="L9" s="124">
        <f>IF(TID_test_plan!N29="",0,IF(AND((TID_test_plan!N29-TRUNC(TID_test_plan!N29))&gt;VLOOKUP(WEEKDAY(TID_test_plan!N29),work_days,5,FALSE),(TID_test_plan!N29-TRUNC(TID_test_plan!N29))&lt;VLOOKUP(WEEKDAY(TID_test_plan!N29),work_days,6,FALSE)),0,L$5))</f>
        <v>0</v>
      </c>
      <c r="M9" s="124">
        <f>IF(TID_test_plan!Q29="",0,IF(AND((TID_test_plan!Q29-TRUNC(TID_test_plan!Q29))&gt;VLOOKUP(WEEKDAY(TID_test_plan!Q29),work_days,4,FALSE),(TID_test_plan!Q29-TRUNC(TID_test_plan!Q29))&lt;VLOOKUP(WEEKDAY(TID_test_plan!Q29),work_days,7,FALSE)),0,M$5))</f>
        <v>0</v>
      </c>
      <c r="N9" s="124">
        <f>IF(TID_test_plan!Q29="",0,IF(AND((TID_test_plan!Q29-TRUNC(TID_test_plan!Q29))&gt;VLOOKUP(WEEKDAY(TID_test_plan!Q29),work_days,5,FALSE),(TID_test_plan!Q29-TRUNC(TID_test_plan!Q29))&lt;VLOOKUP(WEEKDAY(TID_test_plan!Q29),work_days,6,FALSE)),0,N$5))</f>
        <v>0</v>
      </c>
      <c r="O9" s="124">
        <f>IF((TID_test_plan!H29=""),0,IF(AL9,$O$5,""))</f>
        <v>0</v>
      </c>
      <c r="P9" s="145"/>
      <c r="X9" s="132">
        <v>7</v>
      </c>
      <c r="Y9" s="132" t="s">
        <v>345</v>
      </c>
      <c r="Z9" s="132">
        <v>2</v>
      </c>
      <c r="AE9" s="161" t="str">
        <f>TID_test_plan!N29</f>
        <v/>
      </c>
      <c r="AF9" s="161" t="str">
        <f>TID_test_plan!Q29</f>
        <v/>
      </c>
      <c r="AG9" s="124" t="str">
        <f t="shared" si="1"/>
        <v/>
      </c>
      <c r="AH9" s="124" t="str">
        <f t="shared" si="2"/>
        <v/>
      </c>
      <c r="AJ9" s="124" t="b">
        <f t="shared" si="8"/>
        <v>0</v>
      </c>
      <c r="AK9" s="124" t="b">
        <f t="shared" si="3"/>
        <v>0</v>
      </c>
      <c r="AL9" s="124" t="b">
        <f t="shared" si="9"/>
        <v>0</v>
      </c>
      <c r="AM9" s="165" t="str">
        <f t="shared" si="4"/>
        <v/>
      </c>
      <c r="AP9" s="124" t="str">
        <f>TID_test_plan!H29</f>
        <v/>
      </c>
      <c r="AQ9" s="124" t="str">
        <f>VLOOKUP(TID_test_plan!$F$13,convert_units,2,FALSE)</f>
        <v>rad</v>
      </c>
      <c r="AR9" s="124" t="str">
        <f>VLOOKUP(TID_test_plan!$F$13,convert_units,4,FALSE)</f>
        <v>hrs</v>
      </c>
      <c r="AS9" s="124" t="str">
        <f>VLOOKUP(TID_test_plan!$F$13,convert_units,3,FALSE)</f>
        <v>cm</v>
      </c>
      <c r="AT9" s="130" t="s">
        <v>66</v>
      </c>
      <c r="AU9" s="130">
        <f t="shared" si="5"/>
        <v>0.89800000000000002</v>
      </c>
    </row>
    <row r="10" spans="1:47" x14ac:dyDescent="0.4">
      <c r="A10" s="124">
        <v>4</v>
      </c>
      <c r="B10" s="137" t="str">
        <f t="shared" si="0"/>
        <v>please fill in:  Target TID, [target dose rate]</v>
      </c>
      <c r="C10" s="124">
        <f>IF(OR(TID_test_plan!F30="",TID_test_plan!F30=0),C$5,0)</f>
        <v>9</v>
      </c>
      <c r="D10" s="124">
        <f>IF(TID_test_plan!F30&lt;TID_test_plan!F29,D$5,0)</f>
        <v>0</v>
      </c>
      <c r="E10" s="124">
        <f t="shared" si="6"/>
        <v>0</v>
      </c>
      <c r="F10" s="124">
        <f t="shared" si="7"/>
        <v>0</v>
      </c>
      <c r="G10" s="124">
        <f>IF(ISERROR(VLOOKUP(TRUNC(TID_test_plan!N30,0),Public_Holidays,1,FALSE)),0,G$5)</f>
        <v>0</v>
      </c>
      <c r="H10" s="124">
        <f>IF(ISERROR(VLOOKUP(TRUNC(TID_test_plan!Q30,0),Public_Holidays,1,FALSE)),0,H$5)</f>
        <v>0</v>
      </c>
      <c r="I10" s="124">
        <f>IF(TID_test_plan!N30="",0,IF((VLOOKUP(WEEKDAY(TID_test_plan!N30),work_days,8,FALSE)),I$5,0))</f>
        <v>0</v>
      </c>
      <c r="J10" s="124">
        <f>IF(TID_test_plan!Q30="",0,IF((VLOOKUP(WEEKDAY(TID_test_plan!Q30),work_days,8,FALSE)),J$5,0))</f>
        <v>0</v>
      </c>
      <c r="K10" s="124">
        <f>IF(TID_test_plan!N30="",0,IF(AND((TID_test_plan!N30-TRUNC(TID_test_plan!N30))&gt;VLOOKUP(WEEKDAY(TID_test_plan!N30),work_days,4,FALSE),(TID_test_plan!N30-TRUNC(TID_test_plan!N30))&lt;VLOOKUP(WEEKDAY(TID_test_plan!N30),work_days,7,FALSE)),0,K$5))</f>
        <v>0</v>
      </c>
      <c r="L10" s="124">
        <f>IF(TID_test_plan!N30="",0,IF(AND((TID_test_plan!N30-TRUNC(TID_test_plan!N30))&gt;VLOOKUP(WEEKDAY(TID_test_plan!N30),work_days,5,FALSE),(TID_test_plan!N30-TRUNC(TID_test_plan!N30))&lt;VLOOKUP(WEEKDAY(TID_test_plan!N30),work_days,6,FALSE)),0,L$5))</f>
        <v>0</v>
      </c>
      <c r="M10" s="124">
        <f>IF(TID_test_plan!Q30="",0,IF(AND((TID_test_plan!Q30-TRUNC(TID_test_plan!Q30))&gt;VLOOKUP(WEEKDAY(TID_test_plan!Q30),work_days,4,FALSE),(TID_test_plan!Q30-TRUNC(TID_test_plan!Q30))&lt;VLOOKUP(WEEKDAY(TID_test_plan!Q30),work_days,7,FALSE)),0,M$5))</f>
        <v>0</v>
      </c>
      <c r="N10" s="124">
        <f>IF(TID_test_plan!Q30="",0,IF(AND((TID_test_plan!Q30-TRUNC(TID_test_plan!Q30))&gt;VLOOKUP(WEEKDAY(TID_test_plan!Q30),work_days,5,FALSE),(TID_test_plan!Q30-TRUNC(TID_test_plan!Q30))&lt;VLOOKUP(WEEKDAY(TID_test_plan!Q30),work_days,6,FALSE)),0,N$5))</f>
        <v>0</v>
      </c>
      <c r="O10" s="124">
        <f>IF((TID_test_plan!H30=""),0,IF(AL10,$O$5,""))</f>
        <v>0</v>
      </c>
      <c r="P10" s="145"/>
      <c r="X10" s="132">
        <v>8</v>
      </c>
      <c r="Y10" s="132" t="s">
        <v>344</v>
      </c>
      <c r="Z10" s="132">
        <v>2</v>
      </c>
      <c r="AE10" s="161" t="str">
        <f>TID_test_plan!N30</f>
        <v/>
      </c>
      <c r="AF10" s="161" t="str">
        <f>TID_test_plan!Q30</f>
        <v/>
      </c>
      <c r="AG10" s="124" t="str">
        <f t="shared" si="1"/>
        <v/>
      </c>
      <c r="AH10" s="124" t="str">
        <f t="shared" si="2"/>
        <v/>
      </c>
      <c r="AJ10" s="124" t="b">
        <f t="shared" si="8"/>
        <v>0</v>
      </c>
      <c r="AK10" s="124" t="b">
        <f t="shared" si="3"/>
        <v>0</v>
      </c>
      <c r="AL10" s="124" t="b">
        <f t="shared" si="9"/>
        <v>0</v>
      </c>
      <c r="AM10" s="165" t="str">
        <f t="shared" si="4"/>
        <v/>
      </c>
      <c r="AP10" s="124" t="str">
        <f>TID_test_plan!H30</f>
        <v/>
      </c>
      <c r="AQ10" s="124" t="str">
        <f>VLOOKUP(TID_test_plan!$F$13,convert_units,2,FALSE)</f>
        <v>rad</v>
      </c>
      <c r="AR10" s="124" t="str">
        <f>VLOOKUP(TID_test_plan!$F$13,convert_units,4,FALSE)</f>
        <v>hrs</v>
      </c>
      <c r="AS10" s="124" t="str">
        <f>VLOOKUP(TID_test_plan!$F$13,convert_units,3,FALSE)</f>
        <v>cm</v>
      </c>
      <c r="AT10" s="130" t="s">
        <v>66</v>
      </c>
      <c r="AU10" s="130">
        <f t="shared" si="5"/>
        <v>0.89800000000000002</v>
      </c>
    </row>
    <row r="11" spans="1:47" x14ac:dyDescent="0.4">
      <c r="A11" s="124">
        <v>5</v>
      </c>
      <c r="B11" s="137" t="str">
        <f t="shared" si="0"/>
        <v>please fill in:  Target TID, [target dose rate]</v>
      </c>
      <c r="C11" s="124">
        <f>IF(OR(TID_test_plan!F31="",TID_test_plan!F31=0),C$5,0)</f>
        <v>9</v>
      </c>
      <c r="D11" s="124">
        <f>IF(TID_test_plan!F31&lt;TID_test_plan!F30,D$5,0)</f>
        <v>0</v>
      </c>
      <c r="E11" s="124">
        <f t="shared" si="6"/>
        <v>0</v>
      </c>
      <c r="F11" s="124">
        <f t="shared" si="7"/>
        <v>0</v>
      </c>
      <c r="G11" s="124">
        <f>IF(ISERROR(VLOOKUP(TRUNC(TID_test_plan!N31,0),Public_Holidays,1,FALSE)),0,G$5)</f>
        <v>0</v>
      </c>
      <c r="H11" s="124">
        <f>IF(ISERROR(VLOOKUP(TRUNC(TID_test_plan!Q31,0),Public_Holidays,1,FALSE)),0,H$5)</f>
        <v>0</v>
      </c>
      <c r="I11" s="124">
        <f>IF(TID_test_plan!N31="",0,IF((VLOOKUP(WEEKDAY(TID_test_plan!N31),work_days,8,FALSE)),I$5,0))</f>
        <v>0</v>
      </c>
      <c r="J11" s="124">
        <f>IF(TID_test_plan!Q31="",0,IF((VLOOKUP(WEEKDAY(TID_test_plan!Q31),work_days,8,FALSE)),J$5,0))</f>
        <v>0</v>
      </c>
      <c r="K11" s="124">
        <f>IF(TID_test_plan!N31="",0,IF(AND((TID_test_plan!N31-TRUNC(TID_test_plan!N31))&gt;VLOOKUP(WEEKDAY(TID_test_plan!N31),work_days,4,FALSE),(TID_test_plan!N31-TRUNC(TID_test_plan!N31))&lt;VLOOKUP(WEEKDAY(TID_test_plan!N31),work_days,7,FALSE)),0,K$5))</f>
        <v>0</v>
      </c>
      <c r="L11" s="124">
        <f>IF(TID_test_plan!N31="",0,IF(AND((TID_test_plan!N31-TRUNC(TID_test_plan!N31))&gt;VLOOKUP(WEEKDAY(TID_test_plan!N31),work_days,5,FALSE),(TID_test_plan!N31-TRUNC(TID_test_plan!N31))&lt;VLOOKUP(WEEKDAY(TID_test_plan!N31),work_days,6,FALSE)),0,L$5))</f>
        <v>0</v>
      </c>
      <c r="M11" s="124">
        <f>IF(TID_test_plan!Q31="",0,IF(AND((TID_test_plan!Q31-TRUNC(TID_test_plan!Q31))&gt;VLOOKUP(WEEKDAY(TID_test_plan!Q31),work_days,4,FALSE),(TID_test_plan!Q31-TRUNC(TID_test_plan!Q31))&lt;VLOOKUP(WEEKDAY(TID_test_plan!Q31),work_days,7,FALSE)),0,M$5))</f>
        <v>0</v>
      </c>
      <c r="N11" s="124">
        <f>IF(TID_test_plan!Q31="",0,IF(AND((TID_test_plan!Q31-TRUNC(TID_test_plan!Q31))&gt;VLOOKUP(WEEKDAY(TID_test_plan!Q31),work_days,5,FALSE),(TID_test_plan!Q31-TRUNC(TID_test_plan!Q31))&lt;VLOOKUP(WEEKDAY(TID_test_plan!Q31),work_days,6,FALSE)),0,N$5))</f>
        <v>0</v>
      </c>
      <c r="O11" s="124">
        <f>IF((TID_test_plan!H31=""),0,IF(AL11,$O$5,""))</f>
        <v>0</v>
      </c>
      <c r="P11" s="145"/>
      <c r="X11" s="132">
        <v>9</v>
      </c>
      <c r="Y11" s="132" t="s">
        <v>339</v>
      </c>
      <c r="Z11" s="132">
        <v>2</v>
      </c>
      <c r="AE11" s="161" t="str">
        <f>TID_test_plan!N31</f>
        <v/>
      </c>
      <c r="AF11" s="161" t="str">
        <f>TID_test_plan!Q31</f>
        <v/>
      </c>
      <c r="AG11" s="124" t="str">
        <f t="shared" si="1"/>
        <v/>
      </c>
      <c r="AH11" s="124" t="str">
        <f t="shared" si="2"/>
        <v/>
      </c>
      <c r="AJ11" s="124" t="b">
        <f t="shared" si="8"/>
        <v>0</v>
      </c>
      <c r="AK11" s="124" t="b">
        <f t="shared" si="3"/>
        <v>0</v>
      </c>
      <c r="AL11" s="124" t="b">
        <f t="shared" si="9"/>
        <v>0</v>
      </c>
      <c r="AM11" s="165" t="str">
        <f t="shared" si="4"/>
        <v/>
      </c>
      <c r="AP11" s="124" t="str">
        <f>TID_test_plan!H31</f>
        <v/>
      </c>
      <c r="AQ11" s="124" t="str">
        <f>VLOOKUP(TID_test_plan!$F$13,convert_units,2,FALSE)</f>
        <v>rad</v>
      </c>
      <c r="AR11" s="124" t="str">
        <f>VLOOKUP(TID_test_plan!$F$13,convert_units,4,FALSE)</f>
        <v>hrs</v>
      </c>
      <c r="AS11" s="124" t="str">
        <f>VLOOKUP(TID_test_plan!$F$13,convert_units,3,FALSE)</f>
        <v>cm</v>
      </c>
      <c r="AT11" s="130" t="s">
        <v>66</v>
      </c>
      <c r="AU11" s="130">
        <f t="shared" si="5"/>
        <v>0.89800000000000002</v>
      </c>
    </row>
    <row r="12" spans="1:47" x14ac:dyDescent="0.4">
      <c r="A12" s="124">
        <v>6</v>
      </c>
      <c r="B12" s="137" t="str">
        <f t="shared" si="0"/>
        <v>please fill in:  Target TID, [target dose rate]</v>
      </c>
      <c r="C12" s="124">
        <f>IF(OR(TID_test_plan!F32="",TID_test_plan!F32=0),C$5,0)</f>
        <v>9</v>
      </c>
      <c r="D12" s="124">
        <f>IF(TID_test_plan!F32&lt;TID_test_plan!F31,D$5,0)</f>
        <v>0</v>
      </c>
      <c r="E12" s="124">
        <f t="shared" si="6"/>
        <v>0</v>
      </c>
      <c r="F12" s="124">
        <f t="shared" si="7"/>
        <v>0</v>
      </c>
      <c r="G12" s="124">
        <f>IF(ISERROR(VLOOKUP(TRUNC(TID_test_plan!N32,0),Public_Holidays,1,FALSE)),0,G$5)</f>
        <v>0</v>
      </c>
      <c r="H12" s="124">
        <f>IF(ISERROR(VLOOKUP(TRUNC(TID_test_plan!Q32,0),Public_Holidays,1,FALSE)),0,H$5)</f>
        <v>0</v>
      </c>
      <c r="I12" s="124">
        <f>IF(TID_test_plan!N32="",0,IF((VLOOKUP(WEEKDAY(TID_test_plan!N32),work_days,8,FALSE)),I$5,0))</f>
        <v>0</v>
      </c>
      <c r="J12" s="124">
        <f>IF(TID_test_plan!Q32="",0,IF((VLOOKUP(WEEKDAY(TID_test_plan!Q32),work_days,8,FALSE)),J$5,0))</f>
        <v>0</v>
      </c>
      <c r="K12" s="124">
        <f>IF(TID_test_plan!N32="",0,IF(AND((TID_test_plan!N32-TRUNC(TID_test_plan!N32))&gt;VLOOKUP(WEEKDAY(TID_test_plan!N32),work_days,4,FALSE),(TID_test_plan!N32-TRUNC(TID_test_plan!N32))&lt;VLOOKUP(WEEKDAY(TID_test_plan!N32),work_days,7,FALSE)),0,K$5))</f>
        <v>0</v>
      </c>
      <c r="L12" s="124">
        <f>IF(TID_test_plan!N32="",0,IF(AND((TID_test_plan!N32-TRUNC(TID_test_plan!N32))&gt;VLOOKUP(WEEKDAY(TID_test_plan!N32),work_days,5,FALSE),(TID_test_plan!N32-TRUNC(TID_test_plan!N32))&lt;VLOOKUP(WEEKDAY(TID_test_plan!N32),work_days,6,FALSE)),0,L$5))</f>
        <v>0</v>
      </c>
      <c r="M12" s="124">
        <f>IF(TID_test_plan!Q32="",0,IF(AND((TID_test_plan!Q32-TRUNC(TID_test_plan!Q32))&gt;VLOOKUP(WEEKDAY(TID_test_plan!Q32),work_days,4,FALSE),(TID_test_plan!Q32-TRUNC(TID_test_plan!Q32))&lt;VLOOKUP(WEEKDAY(TID_test_plan!Q32),work_days,7,FALSE)),0,M$5))</f>
        <v>0</v>
      </c>
      <c r="N12" s="124">
        <f>IF(TID_test_plan!Q32="",0,IF(AND((TID_test_plan!Q32-TRUNC(TID_test_plan!Q32))&gt;VLOOKUP(WEEKDAY(TID_test_plan!Q32),work_days,5,FALSE),(TID_test_plan!Q32-TRUNC(TID_test_plan!Q32))&lt;VLOOKUP(WEEKDAY(TID_test_plan!Q32),work_days,6,FALSE)),0,N$5))</f>
        <v>0</v>
      </c>
      <c r="O12" s="124">
        <f>IF((TID_test_plan!H32=""),0,IF(AL12,$O$5,""))</f>
        <v>0</v>
      </c>
      <c r="P12" s="145"/>
      <c r="X12" s="132"/>
      <c r="Y12" s="132"/>
      <c r="Z12" s="132"/>
      <c r="AE12" s="161" t="str">
        <f>TID_test_plan!N32</f>
        <v/>
      </c>
      <c r="AF12" s="161" t="str">
        <f>TID_test_plan!Q32</f>
        <v/>
      </c>
      <c r="AG12" s="124" t="str">
        <f t="shared" si="1"/>
        <v/>
      </c>
      <c r="AH12" s="124" t="str">
        <f t="shared" si="2"/>
        <v/>
      </c>
      <c r="AJ12" s="124" t="b">
        <f t="shared" si="8"/>
        <v>0</v>
      </c>
      <c r="AK12" s="124" t="b">
        <f t="shared" si="3"/>
        <v>0</v>
      </c>
      <c r="AL12" s="124" t="b">
        <f t="shared" si="9"/>
        <v>0</v>
      </c>
      <c r="AM12" s="165" t="str">
        <f t="shared" si="4"/>
        <v/>
      </c>
      <c r="AP12" s="124" t="str">
        <f>TID_test_plan!H32</f>
        <v/>
      </c>
      <c r="AQ12" s="124" t="str">
        <f>VLOOKUP(TID_test_plan!$F$13,convert_units,2,FALSE)</f>
        <v>rad</v>
      </c>
      <c r="AR12" s="124" t="str">
        <f>VLOOKUP(TID_test_plan!$F$13,convert_units,4,FALSE)</f>
        <v>hrs</v>
      </c>
      <c r="AS12" s="124" t="str">
        <f>VLOOKUP(TID_test_plan!$F$13,convert_units,3,FALSE)</f>
        <v>cm</v>
      </c>
      <c r="AT12" s="130" t="s">
        <v>66</v>
      </c>
      <c r="AU12" s="130">
        <f t="shared" si="5"/>
        <v>0.89800000000000002</v>
      </c>
    </row>
    <row r="13" spans="1:47" x14ac:dyDescent="0.4">
      <c r="A13" s="124">
        <v>7</v>
      </c>
      <c r="B13" s="137" t="str">
        <f t="shared" si="0"/>
        <v>please fill in:  Target TID, [target dose rate]</v>
      </c>
      <c r="C13" s="124">
        <f>IF(OR(TID_test_plan!F33="",TID_test_plan!F33=0),C$5,0)</f>
        <v>9</v>
      </c>
      <c r="D13" s="124">
        <f>IF(TID_test_plan!F33&lt;TID_test_plan!F32,D$5,0)</f>
        <v>0</v>
      </c>
      <c r="E13" s="124">
        <f t="shared" si="6"/>
        <v>0</v>
      </c>
      <c r="F13" s="124">
        <f t="shared" si="7"/>
        <v>0</v>
      </c>
      <c r="G13" s="124">
        <f>IF(ISERROR(VLOOKUP(TRUNC(TID_test_plan!N33,0),Public_Holidays,1,FALSE)),0,G$5)</f>
        <v>0</v>
      </c>
      <c r="H13" s="124">
        <f>IF(ISERROR(VLOOKUP(TRUNC(TID_test_plan!Q33,0),Public_Holidays,1,FALSE)),0,H$5)</f>
        <v>0</v>
      </c>
      <c r="I13" s="124">
        <f>IF(TID_test_plan!N33="",0,IF((VLOOKUP(WEEKDAY(TID_test_plan!N33),work_days,8,FALSE)),I$5,0))</f>
        <v>0</v>
      </c>
      <c r="J13" s="124">
        <f>IF(TID_test_plan!Q33="",0,IF((VLOOKUP(WEEKDAY(TID_test_plan!Q33),work_days,8,FALSE)),J$5,0))</f>
        <v>0</v>
      </c>
      <c r="K13" s="124">
        <f>IF(TID_test_plan!N33="",0,IF(AND((TID_test_plan!N33-TRUNC(TID_test_plan!N33))&gt;VLOOKUP(WEEKDAY(TID_test_plan!N33),work_days,4,FALSE),(TID_test_plan!N33-TRUNC(TID_test_plan!N33))&lt;VLOOKUP(WEEKDAY(TID_test_plan!N33),work_days,7,FALSE)),0,K$5))</f>
        <v>0</v>
      </c>
      <c r="L13" s="124">
        <f>IF(TID_test_plan!N33="",0,IF(AND((TID_test_plan!N33-TRUNC(TID_test_plan!N33))&gt;VLOOKUP(WEEKDAY(TID_test_plan!N33),work_days,5,FALSE),(TID_test_plan!N33-TRUNC(TID_test_plan!N33))&lt;VLOOKUP(WEEKDAY(TID_test_plan!N33),work_days,6,FALSE)),0,L$5))</f>
        <v>0</v>
      </c>
      <c r="M13" s="124">
        <f>IF(TID_test_plan!Q33="",0,IF(AND((TID_test_plan!Q33-TRUNC(TID_test_plan!Q33))&gt;VLOOKUP(WEEKDAY(TID_test_plan!Q33),work_days,4,FALSE),(TID_test_plan!Q33-TRUNC(TID_test_plan!Q33))&lt;VLOOKUP(WEEKDAY(TID_test_plan!Q33),work_days,7,FALSE)),0,M$5))</f>
        <v>0</v>
      </c>
      <c r="N13" s="124">
        <f>IF(TID_test_plan!Q33="",0,IF(AND((TID_test_plan!Q33-TRUNC(TID_test_plan!Q33))&gt;VLOOKUP(WEEKDAY(TID_test_plan!Q33),work_days,5,FALSE),(TID_test_plan!Q33-TRUNC(TID_test_plan!Q33))&lt;VLOOKUP(WEEKDAY(TID_test_plan!Q33),work_days,6,FALSE)),0,N$5))</f>
        <v>0</v>
      </c>
      <c r="O13" s="124">
        <f>IF((TID_test_plan!H33=""),0,IF(AL13,$O$5,""))</f>
        <v>0</v>
      </c>
      <c r="P13" s="145"/>
      <c r="X13" s="132"/>
      <c r="Y13" s="132"/>
      <c r="Z13" s="132"/>
      <c r="AE13" s="161" t="str">
        <f>TID_test_plan!N33</f>
        <v/>
      </c>
      <c r="AF13" s="161" t="str">
        <f>TID_test_plan!Q33</f>
        <v/>
      </c>
      <c r="AG13" s="124" t="str">
        <f t="shared" si="1"/>
        <v/>
      </c>
      <c r="AH13" s="124" t="str">
        <f t="shared" si="2"/>
        <v/>
      </c>
      <c r="AJ13" s="124" t="b">
        <f t="shared" si="8"/>
        <v>0</v>
      </c>
      <c r="AK13" s="124" t="b">
        <f t="shared" si="3"/>
        <v>0</v>
      </c>
      <c r="AL13" s="124" t="b">
        <f t="shared" si="9"/>
        <v>0</v>
      </c>
      <c r="AM13" s="165" t="str">
        <f t="shared" si="4"/>
        <v/>
      </c>
      <c r="AP13" s="124" t="str">
        <f>TID_test_plan!H33</f>
        <v/>
      </c>
      <c r="AQ13" s="124" t="str">
        <f>VLOOKUP(TID_test_plan!$F$13,convert_units,2,FALSE)</f>
        <v>rad</v>
      </c>
      <c r="AR13" s="124" t="str">
        <f>VLOOKUP(TID_test_plan!$F$13,convert_units,4,FALSE)</f>
        <v>hrs</v>
      </c>
      <c r="AS13" s="124" t="str">
        <f>VLOOKUP(TID_test_plan!$F$13,convert_units,3,FALSE)</f>
        <v>cm</v>
      </c>
      <c r="AT13" s="130" t="s">
        <v>66</v>
      </c>
      <c r="AU13" s="130">
        <f t="shared" si="5"/>
        <v>0.89800000000000002</v>
      </c>
    </row>
    <row r="14" spans="1:47" x14ac:dyDescent="0.4">
      <c r="A14" s="124">
        <v>8</v>
      </c>
      <c r="B14" s="137" t="str">
        <f t="shared" si="0"/>
        <v>please fill in:  Target TID, [target dose rate]</v>
      </c>
      <c r="C14" s="124">
        <f>IF(OR(TID_test_plan!F34="",TID_test_plan!F34=0),C$5,0)</f>
        <v>9</v>
      </c>
      <c r="D14" s="124">
        <f>IF(TID_test_plan!F34&lt;TID_test_plan!F33,D$5,0)</f>
        <v>0</v>
      </c>
      <c r="E14" s="124">
        <f t="shared" si="6"/>
        <v>0</v>
      </c>
      <c r="F14" s="124">
        <f t="shared" si="7"/>
        <v>0</v>
      </c>
      <c r="G14" s="124">
        <f>IF(ISERROR(VLOOKUP(TRUNC(TID_test_plan!N34,0),Public_Holidays,1,FALSE)),0,G$5)</f>
        <v>0</v>
      </c>
      <c r="H14" s="124">
        <f>IF(ISERROR(VLOOKUP(TRUNC(TID_test_plan!Q34,0),Public_Holidays,1,FALSE)),0,H$5)</f>
        <v>0</v>
      </c>
      <c r="I14" s="124">
        <f>IF(TID_test_plan!N34="",0,IF((VLOOKUP(WEEKDAY(TID_test_plan!N34),work_days,8,FALSE)),I$5,0))</f>
        <v>0</v>
      </c>
      <c r="J14" s="124">
        <f>IF(TID_test_plan!Q34="",0,IF((VLOOKUP(WEEKDAY(TID_test_plan!Q34),work_days,8,FALSE)),J$5,0))</f>
        <v>0</v>
      </c>
      <c r="K14" s="124">
        <f>IF(TID_test_plan!N34="",0,IF(AND((TID_test_plan!N34-TRUNC(TID_test_plan!N34))&gt;VLOOKUP(WEEKDAY(TID_test_plan!N34),work_days,4,FALSE),(TID_test_plan!N34-TRUNC(TID_test_plan!N34))&lt;VLOOKUP(WEEKDAY(TID_test_plan!N34),work_days,7,FALSE)),0,K$5))</f>
        <v>0</v>
      </c>
      <c r="L14" s="124">
        <f>IF(TID_test_plan!N34="",0,IF(AND((TID_test_plan!N34-TRUNC(TID_test_plan!N34))&gt;VLOOKUP(WEEKDAY(TID_test_plan!N34),work_days,5,FALSE),(TID_test_plan!N34-TRUNC(TID_test_plan!N34))&lt;VLOOKUP(WEEKDAY(TID_test_plan!N34),work_days,6,FALSE)),0,L$5))</f>
        <v>0</v>
      </c>
      <c r="M14" s="124">
        <f>IF(TID_test_plan!Q34="",0,IF(AND((TID_test_plan!Q34-TRUNC(TID_test_plan!Q34))&gt;VLOOKUP(WEEKDAY(TID_test_plan!Q34),work_days,4,FALSE),(TID_test_plan!Q34-TRUNC(TID_test_plan!Q34))&lt;VLOOKUP(WEEKDAY(TID_test_plan!Q34),work_days,7,FALSE)),0,M$5))</f>
        <v>0</v>
      </c>
      <c r="N14" s="124">
        <f>IF(TID_test_plan!Q34="",0,IF(AND((TID_test_plan!Q34-TRUNC(TID_test_plan!Q34))&gt;VLOOKUP(WEEKDAY(TID_test_plan!Q34),work_days,5,FALSE),(TID_test_plan!Q34-TRUNC(TID_test_plan!Q34))&lt;VLOOKUP(WEEKDAY(TID_test_plan!Q34),work_days,6,FALSE)),0,N$5))</f>
        <v>0</v>
      </c>
      <c r="O14" s="124">
        <f>IF((TID_test_plan!H34=""),0,IF(AL14,$O$5,""))</f>
        <v>0</v>
      </c>
      <c r="P14" s="145"/>
      <c r="X14" s="132"/>
      <c r="Y14" s="132"/>
      <c r="Z14" s="132"/>
      <c r="AE14" s="161" t="str">
        <f>TID_test_plan!N34</f>
        <v/>
      </c>
      <c r="AF14" s="161" t="str">
        <f>TID_test_plan!Q34</f>
        <v/>
      </c>
      <c r="AG14" s="124" t="str">
        <f t="shared" si="1"/>
        <v/>
      </c>
      <c r="AH14" s="124" t="str">
        <f t="shared" si="2"/>
        <v/>
      </c>
      <c r="AJ14" s="124" t="b">
        <f t="shared" si="8"/>
        <v>0</v>
      </c>
      <c r="AK14" s="124" t="b">
        <f t="shared" si="3"/>
        <v>0</v>
      </c>
      <c r="AL14" s="124" t="b">
        <f t="shared" si="9"/>
        <v>0</v>
      </c>
      <c r="AM14" s="165" t="str">
        <f t="shared" si="4"/>
        <v/>
      </c>
      <c r="AP14" s="124" t="str">
        <f>TID_test_plan!H34</f>
        <v/>
      </c>
      <c r="AQ14" s="124" t="str">
        <f>VLOOKUP(TID_test_plan!$F$13,convert_units,2,FALSE)</f>
        <v>rad</v>
      </c>
      <c r="AR14" s="124" t="str">
        <f>VLOOKUP(TID_test_plan!$F$13,convert_units,4,FALSE)</f>
        <v>hrs</v>
      </c>
      <c r="AS14" s="124" t="str">
        <f>VLOOKUP(TID_test_plan!$F$13,convert_units,3,FALSE)</f>
        <v>cm</v>
      </c>
      <c r="AT14" s="130" t="s">
        <v>66</v>
      </c>
      <c r="AU14" s="130">
        <f t="shared" si="5"/>
        <v>0.89800000000000002</v>
      </c>
    </row>
    <row r="15" spans="1:47" x14ac:dyDescent="0.4">
      <c r="A15" s="124">
        <v>9</v>
      </c>
      <c r="B15" s="137" t="str">
        <f t="shared" si="0"/>
        <v>please fill in:  Target TID, [target dose rate]</v>
      </c>
      <c r="C15" s="124">
        <f>IF(OR(TID_test_plan!F35="",TID_test_plan!F35=0),C$5,0)</f>
        <v>9</v>
      </c>
      <c r="D15" s="124">
        <f>IF(TID_test_plan!F35&lt;TID_test_plan!F34,D$5,0)</f>
        <v>0</v>
      </c>
      <c r="E15" s="124">
        <f t="shared" si="6"/>
        <v>0</v>
      </c>
      <c r="F15" s="124">
        <f t="shared" si="7"/>
        <v>0</v>
      </c>
      <c r="G15" s="124">
        <f>IF(ISERROR(VLOOKUP(TRUNC(TID_test_plan!N35,0),Public_Holidays,1,FALSE)),0,G$5)</f>
        <v>0</v>
      </c>
      <c r="H15" s="124">
        <f>IF(ISERROR(VLOOKUP(TRUNC(TID_test_plan!Q35,0),Public_Holidays,1,FALSE)),0,H$5)</f>
        <v>0</v>
      </c>
      <c r="I15" s="124">
        <f>IF(TID_test_plan!N35="",0,IF((VLOOKUP(WEEKDAY(TID_test_plan!N35),work_days,8,FALSE)),I$5,0))</f>
        <v>0</v>
      </c>
      <c r="J15" s="124">
        <f>IF(TID_test_plan!Q35="",0,IF((VLOOKUP(WEEKDAY(TID_test_plan!Q35),work_days,8,FALSE)),J$5,0))</f>
        <v>0</v>
      </c>
      <c r="K15" s="124">
        <f>IF(TID_test_plan!N35="",0,IF(AND((TID_test_plan!N35-TRUNC(TID_test_plan!N35))&gt;VLOOKUP(WEEKDAY(TID_test_plan!N35),work_days,4,FALSE),(TID_test_plan!N35-TRUNC(TID_test_plan!N35))&lt;VLOOKUP(WEEKDAY(TID_test_plan!N35),work_days,7,FALSE)),0,K$5))</f>
        <v>0</v>
      </c>
      <c r="L15" s="124">
        <f>IF(TID_test_plan!N35="",0,IF(AND((TID_test_plan!N35-TRUNC(TID_test_plan!N35))&gt;VLOOKUP(WEEKDAY(TID_test_plan!N35),work_days,5,FALSE),(TID_test_plan!N35-TRUNC(TID_test_plan!N35))&lt;VLOOKUP(WEEKDAY(TID_test_plan!N35),work_days,6,FALSE)),0,L$5))</f>
        <v>0</v>
      </c>
      <c r="M15" s="124">
        <f>IF(TID_test_plan!Q35="",0,IF(AND((TID_test_plan!Q35-TRUNC(TID_test_plan!Q35))&gt;VLOOKUP(WEEKDAY(TID_test_plan!Q35),work_days,4,FALSE),(TID_test_plan!Q35-TRUNC(TID_test_plan!Q35))&lt;VLOOKUP(WEEKDAY(TID_test_plan!Q35),work_days,7,FALSE)),0,M$5))</f>
        <v>0</v>
      </c>
      <c r="N15" s="124">
        <f>IF(TID_test_plan!Q35="",0,IF(AND((TID_test_plan!Q35-TRUNC(TID_test_plan!Q35))&gt;VLOOKUP(WEEKDAY(TID_test_plan!Q35),work_days,5,FALSE),(TID_test_plan!Q35-TRUNC(TID_test_plan!Q35))&lt;VLOOKUP(WEEKDAY(TID_test_plan!Q35),work_days,6,FALSE)),0,N$5))</f>
        <v>0</v>
      </c>
      <c r="O15" s="124">
        <f>IF((TID_test_plan!H35=""),0,IF(AL15,$O$5,""))</f>
        <v>0</v>
      </c>
      <c r="P15" s="145"/>
      <c r="X15" s="132"/>
      <c r="Y15" s="132"/>
      <c r="Z15" s="132"/>
      <c r="AE15" s="161" t="str">
        <f>TID_test_plan!N35</f>
        <v/>
      </c>
      <c r="AF15" s="161" t="str">
        <f>TID_test_plan!Q35</f>
        <v/>
      </c>
      <c r="AG15" s="124" t="str">
        <f t="shared" si="1"/>
        <v/>
      </c>
      <c r="AH15" s="124" t="str">
        <f t="shared" si="2"/>
        <v/>
      </c>
      <c r="AJ15" s="124" t="b">
        <f t="shared" si="8"/>
        <v>0</v>
      </c>
      <c r="AK15" s="124" t="b">
        <f t="shared" si="3"/>
        <v>0</v>
      </c>
      <c r="AL15" s="124" t="b">
        <f t="shared" si="9"/>
        <v>0</v>
      </c>
      <c r="AM15" s="165" t="str">
        <f t="shared" si="4"/>
        <v/>
      </c>
      <c r="AP15" s="124" t="str">
        <f>TID_test_plan!H35</f>
        <v/>
      </c>
      <c r="AQ15" s="124" t="str">
        <f>VLOOKUP(TID_test_plan!$F$13,convert_units,2,FALSE)</f>
        <v>rad</v>
      </c>
      <c r="AR15" s="124" t="str">
        <f>VLOOKUP(TID_test_plan!$F$13,convert_units,4,FALSE)</f>
        <v>hrs</v>
      </c>
      <c r="AS15" s="124" t="str">
        <f>VLOOKUP(TID_test_plan!$F$13,convert_units,3,FALSE)</f>
        <v>cm</v>
      </c>
      <c r="AT15" s="130" t="s">
        <v>66</v>
      </c>
      <c r="AU15" s="130">
        <f t="shared" si="5"/>
        <v>0.89800000000000002</v>
      </c>
    </row>
    <row r="16" spans="1:47" x14ac:dyDescent="0.4">
      <c r="A16" s="124">
        <v>10</v>
      </c>
      <c r="B16" s="137" t="str">
        <f t="shared" si="0"/>
        <v>please fill in:  Target TID, [target dose rate]</v>
      </c>
      <c r="C16" s="124">
        <f>IF(OR(TID_test_plan!F36="",TID_test_plan!F36=0),C$5,0)</f>
        <v>9</v>
      </c>
      <c r="D16" s="124">
        <f>IF(TID_test_plan!F36&lt;TID_test_plan!F35,D$5,0)</f>
        <v>0</v>
      </c>
      <c r="E16" s="124">
        <f t="shared" si="6"/>
        <v>0</v>
      </c>
      <c r="F16" s="124">
        <f t="shared" si="7"/>
        <v>0</v>
      </c>
      <c r="G16" s="124">
        <f>IF(ISERROR(VLOOKUP(TRUNC(TID_test_plan!N36,0),Public_Holidays,1,FALSE)),0,G$5)</f>
        <v>0</v>
      </c>
      <c r="H16" s="124">
        <f>IF(ISERROR(VLOOKUP(TRUNC(TID_test_plan!Q36,0),Public_Holidays,1,FALSE)),0,H$5)</f>
        <v>0</v>
      </c>
      <c r="I16" s="124">
        <f>IF(TID_test_plan!N36="",0,IF((VLOOKUP(WEEKDAY(TID_test_plan!N36),work_days,8,FALSE)),I$5,0))</f>
        <v>0</v>
      </c>
      <c r="J16" s="124">
        <f>IF(TID_test_plan!Q36="",0,IF((VLOOKUP(WEEKDAY(TID_test_plan!Q36),work_days,8,FALSE)),J$5,0))</f>
        <v>0</v>
      </c>
      <c r="K16" s="124">
        <f>IF(TID_test_plan!N36="",0,IF(AND((TID_test_plan!N36-TRUNC(TID_test_plan!N36))&gt;VLOOKUP(WEEKDAY(TID_test_plan!N36),work_days,4,FALSE),(TID_test_plan!N36-TRUNC(TID_test_plan!N36))&lt;VLOOKUP(WEEKDAY(TID_test_plan!N36),work_days,7,FALSE)),0,K$5))</f>
        <v>0</v>
      </c>
      <c r="L16" s="124">
        <f>IF(TID_test_plan!N36="",0,IF(AND((TID_test_plan!N36-TRUNC(TID_test_plan!N36))&gt;VLOOKUP(WEEKDAY(TID_test_plan!N36),work_days,5,FALSE),(TID_test_plan!N36-TRUNC(TID_test_plan!N36))&lt;VLOOKUP(WEEKDAY(TID_test_plan!N36),work_days,6,FALSE)),0,L$5))</f>
        <v>0</v>
      </c>
      <c r="M16" s="124">
        <f>IF(TID_test_plan!Q36="",0,IF(AND((TID_test_plan!Q36-TRUNC(TID_test_plan!Q36))&gt;VLOOKUP(WEEKDAY(TID_test_plan!Q36),work_days,4,FALSE),(TID_test_plan!Q36-TRUNC(TID_test_plan!Q36))&lt;VLOOKUP(WEEKDAY(TID_test_plan!Q36),work_days,7,FALSE)),0,M$5))</f>
        <v>0</v>
      </c>
      <c r="N16" s="124">
        <f>IF(TID_test_plan!Q36="",0,IF(AND((TID_test_plan!Q36-TRUNC(TID_test_plan!Q36))&gt;VLOOKUP(WEEKDAY(TID_test_plan!Q36),work_days,5,FALSE),(TID_test_plan!Q36-TRUNC(TID_test_plan!Q36))&lt;VLOOKUP(WEEKDAY(TID_test_plan!Q36),work_days,6,FALSE)),0,N$5))</f>
        <v>0</v>
      </c>
      <c r="O16" s="124">
        <f>IF((TID_test_plan!H36=""),0,IF(AL16,$O$5,""))</f>
        <v>0</v>
      </c>
      <c r="P16" s="145"/>
      <c r="X16" s="132"/>
      <c r="Y16" s="132"/>
      <c r="Z16" s="132"/>
      <c r="AE16" s="161" t="str">
        <f>TID_test_plan!N36</f>
        <v/>
      </c>
      <c r="AF16" s="161" t="str">
        <f>TID_test_plan!Q36</f>
        <v/>
      </c>
      <c r="AG16" s="124" t="str">
        <f t="shared" si="1"/>
        <v/>
      </c>
      <c r="AH16" s="124" t="str">
        <f t="shared" si="2"/>
        <v/>
      </c>
      <c r="AJ16" s="124" t="b">
        <f t="shared" si="8"/>
        <v>0</v>
      </c>
      <c r="AK16" s="124" t="b">
        <f t="shared" si="3"/>
        <v>0</v>
      </c>
      <c r="AL16" s="124" t="b">
        <f t="shared" si="9"/>
        <v>0</v>
      </c>
      <c r="AM16" s="165" t="str">
        <f t="shared" si="4"/>
        <v/>
      </c>
      <c r="AP16" s="124" t="str">
        <f>TID_test_plan!H36</f>
        <v/>
      </c>
      <c r="AQ16" s="124" t="str">
        <f>VLOOKUP(TID_test_plan!$F$13,convert_units,2,FALSE)</f>
        <v>rad</v>
      </c>
      <c r="AR16" s="124" t="str">
        <f>VLOOKUP(TID_test_plan!$F$13,convert_units,4,FALSE)</f>
        <v>hrs</v>
      </c>
      <c r="AS16" s="124" t="str">
        <f>VLOOKUP(TID_test_plan!$F$13,convert_units,3,FALSE)</f>
        <v>cm</v>
      </c>
      <c r="AT16" s="130" t="s">
        <v>66</v>
      </c>
      <c r="AU16" s="130">
        <f t="shared" si="5"/>
        <v>0.89800000000000002</v>
      </c>
    </row>
    <row r="17" spans="1:47" x14ac:dyDescent="0.4">
      <c r="A17" s="124">
        <v>11</v>
      </c>
      <c r="B17" s="137" t="str">
        <f t="shared" si="0"/>
        <v>please fill in:  Target TID, [target dose rate]</v>
      </c>
      <c r="C17" s="124">
        <f>IF(OR(TID_test_plan!F37="",TID_test_plan!F37=0),C$5,0)</f>
        <v>9</v>
      </c>
      <c r="D17" s="124">
        <f>IF(TID_test_plan!F37&lt;TID_test_plan!F36,D$5,0)</f>
        <v>0</v>
      </c>
      <c r="E17" s="124">
        <f t="shared" si="6"/>
        <v>0</v>
      </c>
      <c r="F17" s="124">
        <f t="shared" si="7"/>
        <v>0</v>
      </c>
      <c r="G17" s="124">
        <f>IF(ISERROR(VLOOKUP(TRUNC(TID_test_plan!N37,0),Public_Holidays,1,FALSE)),0,G$5)</f>
        <v>0</v>
      </c>
      <c r="H17" s="124">
        <f>IF(ISERROR(VLOOKUP(TRUNC(TID_test_plan!Q37,0),Public_Holidays,1,FALSE)),0,H$5)</f>
        <v>0</v>
      </c>
      <c r="I17" s="124">
        <f>IF(TID_test_plan!N37="",0,IF((VLOOKUP(WEEKDAY(TID_test_plan!N37),work_days,8,FALSE)),I$5,0))</f>
        <v>0</v>
      </c>
      <c r="J17" s="124">
        <f>IF(TID_test_plan!Q37="",0,IF((VLOOKUP(WEEKDAY(TID_test_plan!Q37),work_days,8,FALSE)),J$5,0))</f>
        <v>0</v>
      </c>
      <c r="K17" s="124">
        <f>IF(TID_test_plan!N37="",0,IF(AND((TID_test_plan!N37-TRUNC(TID_test_plan!N37))&gt;VLOOKUP(WEEKDAY(TID_test_plan!N37),work_days,4,FALSE),(TID_test_plan!N37-TRUNC(TID_test_plan!N37))&lt;VLOOKUP(WEEKDAY(TID_test_plan!N37),work_days,7,FALSE)),0,K$5))</f>
        <v>0</v>
      </c>
      <c r="L17" s="124">
        <f>IF(TID_test_plan!N37="",0,IF(AND((TID_test_plan!N37-TRUNC(TID_test_plan!N37))&gt;VLOOKUP(WEEKDAY(TID_test_plan!N37),work_days,5,FALSE),(TID_test_plan!N37-TRUNC(TID_test_plan!N37))&lt;VLOOKUP(WEEKDAY(TID_test_plan!N37),work_days,6,FALSE)),0,L$5))</f>
        <v>0</v>
      </c>
      <c r="M17" s="124">
        <f>IF(TID_test_plan!Q37="",0,IF(AND((TID_test_plan!Q37-TRUNC(TID_test_plan!Q37))&gt;VLOOKUP(WEEKDAY(TID_test_plan!Q37),work_days,4,FALSE),(TID_test_plan!Q37-TRUNC(TID_test_plan!Q37))&lt;VLOOKUP(WEEKDAY(TID_test_plan!Q37),work_days,7,FALSE)),0,M$5))</f>
        <v>0</v>
      </c>
      <c r="N17" s="124">
        <f>IF(TID_test_plan!Q37="",0,IF(AND((TID_test_plan!Q37-TRUNC(TID_test_plan!Q37))&gt;VLOOKUP(WEEKDAY(TID_test_plan!Q37),work_days,5,FALSE),(TID_test_plan!Q37-TRUNC(TID_test_plan!Q37))&lt;VLOOKUP(WEEKDAY(TID_test_plan!Q37),work_days,6,FALSE)),0,N$5))</f>
        <v>0</v>
      </c>
      <c r="O17" s="124">
        <f>IF((TID_test_plan!H37=""),0,IF(AL17,$O$5,""))</f>
        <v>0</v>
      </c>
      <c r="P17" s="145"/>
      <c r="X17" s="132"/>
      <c r="Y17" s="132"/>
      <c r="Z17" s="132"/>
      <c r="AE17" s="161" t="str">
        <f>TID_test_plan!N37</f>
        <v/>
      </c>
      <c r="AF17" s="161" t="str">
        <f>TID_test_plan!Q37</f>
        <v/>
      </c>
      <c r="AG17" s="124" t="str">
        <f t="shared" si="1"/>
        <v/>
      </c>
      <c r="AH17" s="124" t="str">
        <f t="shared" si="2"/>
        <v/>
      </c>
      <c r="AJ17" s="124" t="b">
        <f t="shared" si="8"/>
        <v>0</v>
      </c>
      <c r="AK17" s="124" t="b">
        <f t="shared" si="3"/>
        <v>0</v>
      </c>
      <c r="AL17" s="124" t="b">
        <f t="shared" si="9"/>
        <v>0</v>
      </c>
      <c r="AM17" s="165" t="str">
        <f t="shared" si="4"/>
        <v/>
      </c>
      <c r="AP17" s="124" t="str">
        <f>TID_test_plan!H37</f>
        <v/>
      </c>
      <c r="AQ17" s="124" t="str">
        <f>VLOOKUP(TID_test_plan!$F$13,convert_units,2,FALSE)</f>
        <v>rad</v>
      </c>
      <c r="AR17" s="124" t="str">
        <f>VLOOKUP(TID_test_plan!$F$13,convert_units,4,FALSE)</f>
        <v>hrs</v>
      </c>
      <c r="AS17" s="124" t="str">
        <f>VLOOKUP(TID_test_plan!$F$13,convert_units,3,FALSE)</f>
        <v>cm</v>
      </c>
      <c r="AT17" s="130" t="s">
        <v>66</v>
      </c>
      <c r="AU17" s="130">
        <f t="shared" si="5"/>
        <v>0.89800000000000002</v>
      </c>
    </row>
    <row r="18" spans="1:47" ht="10.8" thickBot="1" x14ac:dyDescent="0.45">
      <c r="A18" s="124">
        <v>12</v>
      </c>
      <c r="B18" s="146" t="str">
        <f t="shared" si="0"/>
        <v>please fill in:  Target TID, [target dose rate]</v>
      </c>
      <c r="C18" s="147">
        <f>IF(OR(TID_test_plan!F38="",TID_test_plan!F38=0),C$5,0)</f>
        <v>9</v>
      </c>
      <c r="D18" s="147">
        <f>IF(TID_test_plan!F38&lt;TID_test_plan!F37,D$5,0)</f>
        <v>0</v>
      </c>
      <c r="E18" s="147">
        <f t="shared" si="6"/>
        <v>0</v>
      </c>
      <c r="F18" s="147">
        <f t="shared" si="7"/>
        <v>0</v>
      </c>
      <c r="G18" s="147">
        <f>IF(ISERROR(VLOOKUP(TRUNC(TID_test_plan!N38,0),Public_Holidays,1,FALSE)),0,G$5)</f>
        <v>0</v>
      </c>
      <c r="H18" s="147">
        <f>IF(ISERROR(VLOOKUP(TRUNC(TID_test_plan!Q38,0),Public_Holidays,1,FALSE)),0,H$5)</f>
        <v>0</v>
      </c>
      <c r="I18" s="147">
        <f>IF(TID_test_plan!N38="",0,IF((VLOOKUP(WEEKDAY(TID_test_plan!N38),work_days,8,FALSE)),I$5,0))</f>
        <v>0</v>
      </c>
      <c r="J18" s="147">
        <f>IF(TID_test_plan!Q38="",0,IF((VLOOKUP(WEEKDAY(TID_test_plan!Q38),work_days,8,FALSE)),J$5,0))</f>
        <v>0</v>
      </c>
      <c r="K18" s="147">
        <f>IF(TID_test_plan!N38="",0,IF(AND((TID_test_plan!N38-TRUNC(TID_test_plan!N38))&gt;VLOOKUP(WEEKDAY(TID_test_plan!N38),work_days,4,FALSE),(TID_test_plan!N38-TRUNC(TID_test_plan!N38))&lt;VLOOKUP(WEEKDAY(TID_test_plan!N38),work_days,7,FALSE)),0,K$5))</f>
        <v>0</v>
      </c>
      <c r="L18" s="147">
        <f>IF(TID_test_plan!N38="",0,IF(AND((TID_test_plan!N38-TRUNC(TID_test_plan!N38))&gt;VLOOKUP(WEEKDAY(TID_test_plan!N38),work_days,5,FALSE),(TID_test_plan!N38-TRUNC(TID_test_plan!N38))&lt;VLOOKUP(WEEKDAY(TID_test_plan!N38),work_days,6,FALSE)),0,L$5))</f>
        <v>0</v>
      </c>
      <c r="M18" s="147">
        <f>IF(TID_test_plan!Q38="",0,IF(AND((TID_test_plan!Q38-TRUNC(TID_test_plan!Q38))&gt;VLOOKUP(WEEKDAY(TID_test_plan!Q38),work_days,4,FALSE),(TID_test_plan!Q38-TRUNC(TID_test_plan!Q38))&lt;VLOOKUP(WEEKDAY(TID_test_plan!Q38),work_days,7,FALSE)),0,M$5))</f>
        <v>0</v>
      </c>
      <c r="N18" s="147">
        <f>IF(TID_test_plan!Q38="",0,IF(AND((TID_test_plan!Q38-TRUNC(TID_test_plan!Q38))&gt;VLOOKUP(WEEKDAY(TID_test_plan!Q38),work_days,5,FALSE),(TID_test_plan!Q38-TRUNC(TID_test_plan!Q38))&lt;VLOOKUP(WEEKDAY(TID_test_plan!Q38),work_days,6,FALSE)),0,N$5))</f>
        <v>0</v>
      </c>
      <c r="O18" s="147">
        <f>IF((TID_test_plan!H38=""),0,IF(AL18,$O$5,""))</f>
        <v>0</v>
      </c>
      <c r="P18" s="148"/>
      <c r="X18" s="132"/>
      <c r="Y18" s="132"/>
      <c r="Z18" s="132"/>
      <c r="AE18" s="161" t="str">
        <f>TID_test_plan!N38</f>
        <v/>
      </c>
      <c r="AF18" s="161" t="str">
        <f>TID_test_plan!Q38</f>
        <v/>
      </c>
      <c r="AG18" s="124" t="str">
        <f t="shared" si="1"/>
        <v/>
      </c>
      <c r="AH18" s="124" t="str">
        <f t="shared" si="2"/>
        <v/>
      </c>
      <c r="AJ18" s="124" t="b">
        <f t="shared" si="8"/>
        <v>0</v>
      </c>
      <c r="AK18" s="124" t="b">
        <f t="shared" si="3"/>
        <v>0</v>
      </c>
      <c r="AL18" s="124" t="b">
        <f t="shared" si="9"/>
        <v>0</v>
      </c>
      <c r="AM18" s="165" t="str">
        <f t="shared" si="4"/>
        <v/>
      </c>
      <c r="AP18" s="124" t="str">
        <f>TID_test_plan!H38</f>
        <v/>
      </c>
      <c r="AQ18" s="124" t="str">
        <f>VLOOKUP(TID_test_plan!$F$13,convert_units,2,FALSE)</f>
        <v>rad</v>
      </c>
      <c r="AR18" s="124" t="str">
        <f>VLOOKUP(TID_test_plan!$F$13,convert_units,4,FALSE)</f>
        <v>hrs</v>
      </c>
      <c r="AS18" s="124" t="str">
        <f>VLOOKUP(TID_test_plan!$F$13,convert_units,3,FALSE)</f>
        <v>cm</v>
      </c>
      <c r="AT18" s="130" t="s">
        <v>66</v>
      </c>
      <c r="AU18" s="130">
        <f t="shared" si="5"/>
        <v>0.89800000000000002</v>
      </c>
    </row>
    <row r="19" spans="1:47" ht="15" customHeight="1" thickTop="1" x14ac:dyDescent="0.4">
      <c r="X19" s="132"/>
      <c r="Y19" s="132"/>
      <c r="Z19" s="132"/>
      <c r="AE19" s="161"/>
      <c r="AF19" s="161"/>
      <c r="AM19" s="165"/>
      <c r="AT19" s="130"/>
      <c r="AU19" s="130"/>
    </row>
    <row r="20" spans="1:47" ht="21.75" customHeight="1" x14ac:dyDescent="0.4">
      <c r="X20" s="132"/>
      <c r="Y20" s="132"/>
      <c r="Z20" s="132"/>
    </row>
    <row r="21" spans="1:47" x14ac:dyDescent="0.4">
      <c r="C21" s="129"/>
      <c r="X21" s="132"/>
      <c r="Y21" s="132"/>
      <c r="Z21" s="132"/>
    </row>
    <row r="22" spans="1:47" x14ac:dyDescent="0.4">
      <c r="C22" s="129"/>
      <c r="X22" s="132"/>
      <c r="Y22" s="132"/>
      <c r="Z22" s="132"/>
    </row>
    <row r="23" spans="1:47" x14ac:dyDescent="0.4">
      <c r="C23" s="129"/>
      <c r="X23" s="132"/>
      <c r="Y23" s="132"/>
      <c r="Z23" s="132"/>
    </row>
    <row r="24" spans="1:47" x14ac:dyDescent="0.4">
      <c r="C24" s="129"/>
      <c r="X24" s="132"/>
      <c r="Y24" s="132"/>
      <c r="Z24" s="132"/>
    </row>
    <row r="25" spans="1:47" ht="10.8" thickBot="1" x14ac:dyDescent="0.45">
      <c r="X25" s="132"/>
      <c r="Y25" s="132"/>
      <c r="Z25" s="132"/>
    </row>
    <row r="26" spans="1:47" ht="10.8" thickTop="1" x14ac:dyDescent="0.4">
      <c r="B26" s="149" t="s">
        <v>363</v>
      </c>
      <c r="C26" s="150" t="s">
        <v>364</v>
      </c>
      <c r="D26" s="150" t="s">
        <v>365</v>
      </c>
      <c r="E26" s="151" t="s">
        <v>366</v>
      </c>
      <c r="X26" s="132"/>
      <c r="Y26" s="132"/>
      <c r="Z26" s="132"/>
    </row>
    <row r="27" spans="1:47" x14ac:dyDescent="0.4">
      <c r="A27" s="124">
        <v>1</v>
      </c>
      <c r="B27" s="132">
        <f t="shared" ref="B27:B38" si="10">VLOOKUP(MAX($C7,$D7),Warning_messages,3,FALSE)</f>
        <v>0</v>
      </c>
      <c r="C27" s="132">
        <f t="shared" ref="C27:C38" si="11">VLOOKUP(MAX(E7,F7,O7),Warning_messages,3,FALSE)</f>
        <v>0</v>
      </c>
      <c r="D27" s="132">
        <f t="shared" ref="D27:D38" si="12">VLOOKUP(MAX(G7,I7,K7,L7),Warning_messages,3,FALSE)</f>
        <v>0</v>
      </c>
      <c r="E27" s="132">
        <f t="shared" ref="E27:E38" si="13">VLOOKUP(MAX(H7,J7,M7,N7),Warning_messages,3,FALSE)</f>
        <v>0</v>
      </c>
      <c r="X27" s="132"/>
      <c r="Y27" s="132"/>
      <c r="Z27" s="132"/>
    </row>
    <row r="28" spans="1:47" x14ac:dyDescent="0.4">
      <c r="A28" s="124">
        <v>2</v>
      </c>
      <c r="B28" s="132">
        <f t="shared" si="10"/>
        <v>2</v>
      </c>
      <c r="C28" s="132">
        <f t="shared" si="11"/>
        <v>0</v>
      </c>
      <c r="D28" s="132">
        <f t="shared" si="12"/>
        <v>0</v>
      </c>
      <c r="E28" s="132">
        <f t="shared" si="13"/>
        <v>0</v>
      </c>
    </row>
    <row r="29" spans="1:47" x14ac:dyDescent="0.4">
      <c r="A29" s="124">
        <v>3</v>
      </c>
      <c r="B29" s="132">
        <f t="shared" si="10"/>
        <v>2</v>
      </c>
      <c r="C29" s="132">
        <f t="shared" si="11"/>
        <v>0</v>
      </c>
      <c r="D29" s="132">
        <f t="shared" si="12"/>
        <v>0</v>
      </c>
      <c r="E29" s="132">
        <f t="shared" si="13"/>
        <v>0</v>
      </c>
    </row>
    <row r="30" spans="1:47" x14ac:dyDescent="0.4">
      <c r="A30" s="124">
        <v>4</v>
      </c>
      <c r="B30" s="132">
        <f t="shared" si="10"/>
        <v>2</v>
      </c>
      <c r="C30" s="132">
        <f t="shared" si="11"/>
        <v>0</v>
      </c>
      <c r="D30" s="132">
        <f t="shared" si="12"/>
        <v>0</v>
      </c>
      <c r="E30" s="132">
        <f t="shared" si="13"/>
        <v>0</v>
      </c>
    </row>
    <row r="31" spans="1:47" x14ac:dyDescent="0.4">
      <c r="A31" s="124">
        <v>5</v>
      </c>
      <c r="B31" s="132">
        <f t="shared" si="10"/>
        <v>2</v>
      </c>
      <c r="C31" s="132">
        <f t="shared" si="11"/>
        <v>0</v>
      </c>
      <c r="D31" s="132">
        <f t="shared" si="12"/>
        <v>0</v>
      </c>
      <c r="E31" s="132">
        <f t="shared" si="13"/>
        <v>0</v>
      </c>
    </row>
    <row r="32" spans="1:47" x14ac:dyDescent="0.4">
      <c r="A32" s="124">
        <v>6</v>
      </c>
      <c r="B32" s="132">
        <f t="shared" si="10"/>
        <v>2</v>
      </c>
      <c r="C32" s="132">
        <f t="shared" si="11"/>
        <v>0</v>
      </c>
      <c r="D32" s="132">
        <f t="shared" si="12"/>
        <v>0</v>
      </c>
      <c r="E32" s="132">
        <f t="shared" si="13"/>
        <v>0</v>
      </c>
    </row>
    <row r="33" spans="1:10" x14ac:dyDescent="0.4">
      <c r="A33" s="124">
        <v>7</v>
      </c>
      <c r="B33" s="132">
        <f t="shared" si="10"/>
        <v>2</v>
      </c>
      <c r="C33" s="132">
        <f t="shared" si="11"/>
        <v>0</v>
      </c>
      <c r="D33" s="132">
        <f t="shared" si="12"/>
        <v>0</v>
      </c>
      <c r="E33" s="132">
        <f t="shared" si="13"/>
        <v>0</v>
      </c>
    </row>
    <row r="34" spans="1:10" x14ac:dyDescent="0.4">
      <c r="A34" s="124">
        <v>8</v>
      </c>
      <c r="B34" s="132">
        <f t="shared" si="10"/>
        <v>2</v>
      </c>
      <c r="C34" s="132">
        <f t="shared" si="11"/>
        <v>0</v>
      </c>
      <c r="D34" s="132">
        <f t="shared" si="12"/>
        <v>0</v>
      </c>
      <c r="E34" s="132">
        <f t="shared" si="13"/>
        <v>0</v>
      </c>
    </row>
    <row r="35" spans="1:10" x14ac:dyDescent="0.4">
      <c r="A35" s="124">
        <v>9</v>
      </c>
      <c r="B35" s="132">
        <f t="shared" si="10"/>
        <v>2</v>
      </c>
      <c r="C35" s="132">
        <f t="shared" si="11"/>
        <v>0</v>
      </c>
      <c r="D35" s="132">
        <f t="shared" si="12"/>
        <v>0</v>
      </c>
      <c r="E35" s="132">
        <f t="shared" si="13"/>
        <v>0</v>
      </c>
      <c r="J35" s="129"/>
    </row>
    <row r="36" spans="1:10" x14ac:dyDescent="0.4">
      <c r="A36" s="124">
        <v>10</v>
      </c>
      <c r="B36" s="132">
        <f t="shared" si="10"/>
        <v>2</v>
      </c>
      <c r="C36" s="132">
        <f t="shared" si="11"/>
        <v>0</v>
      </c>
      <c r="D36" s="132">
        <f t="shared" si="12"/>
        <v>0</v>
      </c>
      <c r="E36" s="132">
        <f t="shared" si="13"/>
        <v>0</v>
      </c>
    </row>
    <row r="37" spans="1:10" x14ac:dyDescent="0.4">
      <c r="A37" s="124">
        <v>11</v>
      </c>
      <c r="B37" s="132">
        <f t="shared" si="10"/>
        <v>2</v>
      </c>
      <c r="C37" s="132">
        <f t="shared" si="11"/>
        <v>0</v>
      </c>
      <c r="D37" s="132">
        <f t="shared" si="12"/>
        <v>0</v>
      </c>
      <c r="E37" s="132">
        <f t="shared" si="13"/>
        <v>0</v>
      </c>
    </row>
    <row r="38" spans="1:10" x14ac:dyDescent="0.4">
      <c r="A38" s="124">
        <v>12</v>
      </c>
      <c r="B38" s="132">
        <f t="shared" si="10"/>
        <v>2</v>
      </c>
      <c r="C38" s="132">
        <f t="shared" si="11"/>
        <v>0</v>
      </c>
      <c r="D38" s="132">
        <f t="shared" si="12"/>
        <v>0</v>
      </c>
      <c r="E38" s="132">
        <f t="shared" si="13"/>
        <v>0</v>
      </c>
    </row>
    <row r="39" spans="1:10" x14ac:dyDescent="0.4">
      <c r="B39" s="130"/>
      <c r="C39" s="130"/>
      <c r="D39" s="130"/>
      <c r="E39" s="130"/>
    </row>
    <row r="40" spans="1:10" x14ac:dyDescent="0.4">
      <c r="C40" s="130"/>
      <c r="D40" s="130"/>
      <c r="E40" s="130"/>
      <c r="F40" s="130"/>
    </row>
    <row r="41" spans="1:10" x14ac:dyDescent="0.4">
      <c r="C41" s="130"/>
      <c r="D41" s="130"/>
      <c r="E41" s="130"/>
      <c r="F41" s="130"/>
    </row>
    <row r="42" spans="1:10" x14ac:dyDescent="0.4">
      <c r="C42" s="130"/>
      <c r="D42" s="130"/>
      <c r="E42" s="130"/>
      <c r="F42" s="130"/>
    </row>
    <row r="43" spans="1:10" x14ac:dyDescent="0.4">
      <c r="C43" s="130"/>
      <c r="D43" s="130"/>
      <c r="E43" s="130"/>
      <c r="F43" s="130"/>
    </row>
    <row r="55" spans="3:6" x14ac:dyDescent="0.4">
      <c r="E55" s="129"/>
      <c r="F55" s="129"/>
    </row>
    <row r="56" spans="3:6" x14ac:dyDescent="0.4">
      <c r="E56" s="129"/>
      <c r="F56" s="129"/>
    </row>
    <row r="57" spans="3:6" x14ac:dyDescent="0.4">
      <c r="E57" s="129"/>
      <c r="F57" s="129"/>
    </row>
    <row r="58" spans="3:6" x14ac:dyDescent="0.4">
      <c r="C58" s="130"/>
      <c r="D58" s="130"/>
      <c r="E58" s="129"/>
      <c r="F58" s="129"/>
    </row>
    <row r="59" spans="3:6" x14ac:dyDescent="0.4">
      <c r="E59" s="129"/>
      <c r="F59" s="161"/>
    </row>
    <row r="60" spans="3:6" x14ac:dyDescent="0.4">
      <c r="F60" s="129"/>
    </row>
    <row r="61" spans="3:6" x14ac:dyDescent="0.4">
      <c r="F61" s="129"/>
    </row>
    <row r="62" spans="3:6" x14ac:dyDescent="0.4">
      <c r="F62" s="129"/>
    </row>
    <row r="63" spans="3:6" x14ac:dyDescent="0.4">
      <c r="F63" s="129"/>
    </row>
  </sheetData>
  <sheetProtection selectLockedCells="1" selectUnlockedCells="1"/>
  <sortState xmlns:xlrd2="http://schemas.microsoft.com/office/spreadsheetml/2017/richdata2" ref="X2:Y11">
    <sortCondition ref="X2:X11"/>
  </sortState>
  <mergeCells count="1">
    <mergeCell ref="AJ5:AK5"/>
  </mergeCells>
  <phoneticPr fontId="9" type="noConversion"/>
  <conditionalFormatting sqref="B27:E38">
    <cfRule type="cellIs" dxfId="5" priority="4" operator="equal">
      <formula>2</formula>
    </cfRule>
    <cfRule type="cellIs" dxfId="4" priority="5" operator="equal">
      <formula>1</formula>
    </cfRule>
    <cfRule type="cellIs" dxfId="3" priority="6" operator="equal">
      <formula>0</formula>
    </cfRule>
  </conditionalFormatting>
  <conditionalFormatting sqref="Z2:Z27">
    <cfRule type="cellIs" dxfId="2" priority="1" operator="equal">
      <formula>2</formula>
    </cfRule>
    <cfRule type="cellIs" dxfId="1" priority="2" operator="equal">
      <formula>1</formula>
    </cfRule>
    <cfRule type="cellIs" dxfId="0" priority="3" operator="equal">
      <formula>0</formula>
    </cfRule>
  </conditionalFormatting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lassification xmlns="9f07c600-72be-42c4-8727-3c68669dbd35" xsi:nil="true"/>
    <j4d02c60b5184808b166a2fe50da6999 xmlns="9f07c600-72be-42c4-8727-3c68669dbd35">
      <Terms xmlns="http://schemas.microsoft.com/office/infopath/2007/PartnerControls"/>
    </j4d02c60b5184808b166a2fe50da6999>
    <Reference xmlns="9f07c600-72be-42c4-8727-3c68669dbd35">ESA-TECEDR-LAB-ML-2025-001890</Reference>
    <Issue xmlns="9f07c600-72be-42c4-8727-3c68669dbd35">2</Issue>
    <TaxCatchAll xmlns="e56e5f23-9f8f-45a2-98fd-2ffbfafda1e3"/>
    <Reason_x0020_for_x0020_update_x0020__x0028_periodicity_x002f_event_x0029_ xmlns="5d01d8c1-f250-4132-aa20-962a9147431e" xsi:nil="true"/>
    <Document_x0020_Level xmlns="9f07c600-72be-42c4-8727-3c68669dbd35">Level 4</Document_x0020_Level>
    <Document_x0020_Type xmlns="9f07c600-72be-42c4-8727-3c68669dbd35" xsi:nil="true"/>
    <Revision xmlns="9f07c600-72be-42c4-8727-3c68669dbd35">0</Revision>
    <i9c8305dae12480aa1af561fa9c18cc1 xmlns="9f07c600-72be-42c4-8727-3c68669dbd35">
      <Terms xmlns="http://schemas.microsoft.com/office/infopath/2007/PartnerControls"/>
    </i9c8305dae12480aa1af561fa9c18cc1>
    <f632bc5b9fea4e6f862d0735938692d0 xmlns="9f07c600-72be-42c4-8727-3c68669dbd35">
      <Terms xmlns="http://schemas.microsoft.com/office/infopath/2007/PartnerControls"/>
    </f632bc5b9fea4e6f862d0735938692d0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Administration" ma:contentTypeID="0x0101008D3E1FDE1AEFF54FA6B5E820D9BA36FF03005E2E58D0D572A245831851038C75F47D" ma:contentTypeVersion="15" ma:contentTypeDescription="" ma:contentTypeScope="" ma:versionID="de35220a0dbab021ebe92b79c27e81da">
  <xsd:schema xmlns:xsd="http://www.w3.org/2001/XMLSchema" xmlns:xs="http://www.w3.org/2001/XMLSchema" xmlns:p="http://schemas.microsoft.com/office/2006/metadata/properties" xmlns:ns2="5d01d8c1-f250-4132-aa20-962a9147431e" xmlns:ns3="9f07c600-72be-42c4-8727-3c68669dbd35" xmlns:ns4="e56e5f23-9f8f-45a2-98fd-2ffbfafda1e3" targetNamespace="http://schemas.microsoft.com/office/2006/metadata/properties" ma:root="true" ma:fieldsID="5e582f70f5674f63ecea072d4cc86469" ns2:_="" ns3:_="" ns4:_="">
    <xsd:import namespace="5d01d8c1-f250-4132-aa20-962a9147431e"/>
    <xsd:import namespace="9f07c600-72be-42c4-8727-3c68669dbd35"/>
    <xsd:import namespace="e56e5f23-9f8f-45a2-98fd-2ffbfafda1e3"/>
    <xsd:element name="properties">
      <xsd:complexType>
        <xsd:sequence>
          <xsd:element name="documentManagement">
            <xsd:complexType>
              <xsd:all>
                <xsd:element ref="ns2:Reason_x0020_for_x0020_update_x0020__x0028_periodicity_x002f_event_x0029_" minOccurs="0"/>
                <xsd:element ref="ns3:Reference" minOccurs="0"/>
                <xsd:element ref="ns3:Document_x0020_Type" minOccurs="0"/>
                <xsd:element ref="ns3:Document_x0020_Level"/>
                <xsd:element ref="ns3:Classification" minOccurs="0"/>
                <xsd:element ref="ns3:Issue" minOccurs="0"/>
                <xsd:element ref="ns3:Revision" minOccurs="0"/>
                <xsd:element ref="ns3:j4d02c60b5184808b166a2fe50da6999" minOccurs="0"/>
                <xsd:element ref="ns3:i9c8305dae12480aa1af561fa9c18cc1" minOccurs="0"/>
                <xsd:element ref="ns3:f632bc5b9fea4e6f862d0735938692d0" minOccurs="0"/>
                <xsd:element ref="ns4:TaxCatchAll" minOccurs="0"/>
                <xsd:element ref="ns4:TaxCatchAllLabel" minOccurs="0"/>
                <xsd:element ref="ns4:SharedWithUsers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01d8c1-f250-4132-aa20-962a9147431e" elementFormDefault="qualified">
    <xsd:import namespace="http://schemas.microsoft.com/office/2006/documentManagement/types"/>
    <xsd:import namespace="http://schemas.microsoft.com/office/infopath/2007/PartnerControls"/>
    <xsd:element name="Reason_x0020_for_x0020_update_x0020__x0028_periodicity_x002f_event_x0029_" ma:index="3" nillable="true" ma:displayName="Reason for update (periodicity/event)" ma:internalName="Reason_x0020_for_x0020_update_x0020__x0028_periodicity_x002f_event_x0029_" ma:readOnly="fals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07c600-72be-42c4-8727-3c68669dbd35" elementFormDefault="qualified">
    <xsd:import namespace="http://schemas.microsoft.com/office/2006/documentManagement/types"/>
    <xsd:import namespace="http://schemas.microsoft.com/office/infopath/2007/PartnerControls"/>
    <xsd:element name="Reference" ma:index="4" nillable="true" ma:displayName="Document Number" ma:internalName="Reference" ma:readOnly="false">
      <xsd:simpleType>
        <xsd:restriction base="dms:Text">
          <xsd:maxLength value="255"/>
        </xsd:restriction>
      </xsd:simpleType>
    </xsd:element>
    <xsd:element name="Document_x0020_Type" ma:index="5" nillable="true" ma:displayName="Document Type" ma:format="Dropdown" ma:internalName="Document_x0020_Type" ma:readOnly="false">
      <xsd:simpleType>
        <xsd:restriction base="dms:Choice">
          <xsd:enumeration value="AD - Assumption Document"/>
          <xsd:enumeration value="AN - Analysis"/>
          <xsd:enumeration value="AO - Announcement of Opportunity"/>
          <xsd:enumeration value="AR - Article"/>
          <xsd:enumeration value="BR - Brochure"/>
          <xsd:enumeration value="CE - Certificate (Certificate / Statement of Conformance, etc.)"/>
          <xsd:enumeration value="CCN - Contract Change Notice"/>
          <xsd:enumeration value="CO - Contract / Rider"/>
          <xsd:enumeration value="CP - Change Proposal (Engineering / Document)"/>
          <xsd:enumeration value="CR - Change Request (Engineering / Configuration)"/>
          <xsd:enumeration value="CT - Cost Documents (Estimate / CaC / CtC, etc)"/>
          <xsd:enumeration value="DEC - Declaration"/>
          <xsd:enumeration value="DCR - Document Change Request"/>
          <xsd:enumeration value="DD - Design Description / Document"/>
          <xsd:enumeration value="DN - Delivery Notice / Release Notice / Transfer Notice"/>
          <xsd:enumeration value="DP - Data Package"/>
          <xsd:enumeration value="DRD - Document Requirements Definition"/>
          <xsd:enumeration value="DW - Drawing / Diagram"/>
          <xsd:enumeration value="EM - E-mail"/>
          <xsd:enumeration value="EX - Executive Summary"/>
          <xsd:enumeration value="FI - File (Software / Configuration / Network)"/>
          <xsd:enumeration value="FAX - Fax"/>
          <xsd:enumeration value="HO - Handout / Presentation"/>
          <xsd:enumeration value="IF - Interface Requirement / Specification / Interface Control Document / EID"/>
          <xsd:enumeration value="INS - Instruction"/>
          <xsd:enumeration value="ITT - Invitation to Tender"/>
          <xsd:enumeration value="LB - Logbook"/>
          <xsd:enumeration value="LE - Letter"/>
          <xsd:enumeration value="LEG - Legal Text"/>
          <xsd:enumeration value="LI - List"/>
          <xsd:enumeration value="MAN - Manual / User Guide / Handbook"/>
          <xsd:enumeration value="ML - Model"/>
          <xsd:enumeration value="MIN - Minutes of Meeting"/>
          <xsd:enumeration value="MO - Memorandum"/>
          <xsd:enumeration value="MOU - Agreement / Memorandum of Understanding"/>
          <xsd:enumeration value="MX - Matrix / Compliance"/>
          <xsd:enumeration value="NC - Non-Conformance"/>
          <xsd:enumeration value="OD - Operations Document"/>
          <xsd:enumeration value="OJ - Agenda"/>
          <xsd:enumeration value="POL - Policy Document"/>
          <xsd:enumeration value="PG - Progress Report / Status Report"/>
          <xsd:enumeration value="PL - Plan"/>
          <xsd:enumeration value="PO - Proposal"/>
          <xsd:enumeration value="PR - Procedure"/>
          <xsd:enumeration value="PT - Product Tree"/>
          <xsd:enumeration value="REG - Regulation"/>
          <xsd:enumeration value="RD - Request for Deviation"/>
          <xsd:enumeration value="REC - Record"/>
          <xsd:enumeration value="RP - Report (Technical, Budget, Cost, Manpower, Travel, Audit, etc.)"/>
          <xsd:enumeration value="RFQ - Request for Quotation"/>
          <xsd:enumeration value="RS - Requirement Document / Specification (System, Subsystem, Unit, Equipment"/>
          <xsd:enumeration value="RW - level) Request for Waiver"/>
          <xsd:enumeration value="RES - Resolution"/>
          <xsd:enumeration value="SC - Schedule / Network / Barchart / Chart"/>
          <xsd:enumeration value="SP - Specifications"/>
          <xsd:enumeration value="ST - Standards"/>
          <xsd:enumeration value="SOW - Statement of Work"/>
          <xsd:enumeration value="TC - Tender Conditions"/>
          <xsd:enumeration value="TOR - Terms of Reference"/>
          <xsd:enumeration value="TN - Technical Note"/>
          <xsd:enumeration value="TP - Test Procedure / Test Plan"/>
          <xsd:enumeration value="TR - Test Report / Test Result"/>
          <xsd:enumeration value="TS - Test Specification"/>
          <xsd:enumeration value="VC - Verification Control Document"/>
          <xsd:enumeration value="WBS - Work Breakdown Structure"/>
          <xsd:enumeration value="WI - Work Instruction"/>
          <xsd:enumeration value="WP - Working Paper"/>
          <xsd:enumeration value="WPD - Work Package Description"/>
          <xsd:enumeration value="Maintenance Record"/>
          <xsd:enumeration value="TN"/>
          <xsd:enumeration value="Technical Note"/>
          <xsd:enumeration value="RP"/>
          <xsd:enumeration value="Procedure"/>
          <xsd:enumeration value="MAN"/>
          <xsd:enumeration value="Manual"/>
          <xsd:enumeration value="PR"/>
          <xsd:enumeration value="M"/>
        </xsd:restriction>
      </xsd:simpleType>
    </xsd:element>
    <xsd:element name="Document_x0020_Level" ma:index="6" ma:displayName="Document Level" ma:format="Dropdown" ma:internalName="Document_x0020_Level" ma:readOnly="false">
      <xsd:simpleType>
        <xsd:restriction base="dms:Choice">
          <xsd:enumeration value="Level 0"/>
          <xsd:enumeration value="Level 1"/>
          <xsd:enumeration value="Level 2"/>
          <xsd:enumeration value="Level 3"/>
          <xsd:enumeration value="Level 4"/>
        </xsd:restriction>
      </xsd:simpleType>
    </xsd:element>
    <xsd:element name="Classification" ma:index="7" nillable="true" ma:displayName="Security Marking" ma:format="Dropdown" ma:internalName="Classification" ma:readOnly="false">
      <xsd:simpleType>
        <xsd:restriction base="dms:Choice">
          <xsd:enumeration value="ESA UNCLASSIFIED – For ESA Official Use Only"/>
          <xsd:enumeration value="ESA UNCLASSIFIED – For Internal Use​"/>
          <xsd:enumeration value="ESA UNCLASSIFIED – Releasable to the Public​"/>
          <xsd:enumeration value="ESA UNCLASSIFIED - For Official Use"/>
          <xsd:enumeration value="ESA UNCLASSIFIED – For Internal Use"/>
          <xsd:enumeration value="ESA UNCLASSIFIED – For Official Use"/>
          <xsd:enumeration value="ESA UNCLASSIFIED - For ESA Official Use Only"/>
          <xsd:enumeration value="ESA UNCLASSIFIED - For Internal Use"/>
        </xsd:restriction>
      </xsd:simpleType>
    </xsd:element>
    <xsd:element name="Issue" ma:index="11" nillable="true" ma:displayName="Issue" ma:decimals="0" ma:internalName="Issue" ma:readOnly="false" ma:percentage="FALSE">
      <xsd:simpleType>
        <xsd:restriction base="dms:Number">
          <xsd:minInclusive value="0"/>
        </xsd:restriction>
      </xsd:simpleType>
    </xsd:element>
    <xsd:element name="Revision" ma:index="12" nillable="true" ma:displayName="Revision" ma:decimals="0" ma:internalName="Revision" ma:readOnly="false" ma:percentage="FALSE">
      <xsd:simpleType>
        <xsd:restriction base="dms:Number">
          <xsd:minInclusive value="0"/>
        </xsd:restriction>
      </xsd:simpleType>
    </xsd:element>
    <xsd:element name="j4d02c60b5184808b166a2fe50da6999" ma:index="13" nillable="true" ma:taxonomy="true" ma:internalName="j4d02c60b5184808b166a2fe50da6999" ma:taxonomyFieldName="Organisational_x0020_Owner" ma:displayName="Organisational Owner" ma:readOnly="false" ma:fieldId="{34d02c60-b518-4808-b166-a2fe50da6999}" ma:sspId="c5d03a12-d5ee-42be-9cc6-16b3263b6c34" ma:termSetId="21325a49-3eb3-40f4-b089-7f9e52766d3e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9c8305dae12480aa1af561fa9c18cc1" ma:index="15" nillable="true" ma:taxonomy="true" ma:internalName="i9c8305dae12480aa1af561fa9c18cc1" ma:taxonomyFieldName="Activity" ma:displayName="Activity" ma:readOnly="false" ma:fieldId="{29c8305d-ae12-480a-a1af-561fa9c18cc1}" ma:taxonomyMulti="true" ma:sspId="c5d03a12-d5ee-42be-9cc6-16b3263b6c34" ma:termSetId="414fee26-47aa-4a0e-af04-e772d83129e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f632bc5b9fea4e6f862d0735938692d0" ma:index="16" nillable="true" ma:taxonomy="true" ma:internalName="f632bc5b9fea4e6f862d0735938692d0" ma:taxonomyFieldName="Project" ma:displayName="Project" ma:readOnly="false" ma:fieldId="{f632bc5b-9fea-4e6f-862d-0735938692d0}" ma:taxonomyMulti="true" ma:sspId="c5d03a12-d5ee-42be-9cc6-16b3263b6c34" ma:termSetId="b4fee146-acc6-4bd2-b2f8-b4df953438e9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6e5f23-9f8f-45a2-98fd-2ffbfafda1e3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6ca87128-9f7b-489e-a514-096ca6f1f077}" ma:internalName="TaxCatchAll" ma:showField="CatchAllData" ma:web="e56e5f23-9f8f-45a2-98fd-2ffbfafda1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8" nillable="true" ma:displayName="Taxonomy Catch All Column1" ma:hidden="true" ma:list="{6ca87128-9f7b-489e-a514-096ca6f1f077}" ma:internalName="TaxCatchAllLabel" ma:readOnly="true" ma:showField="CatchAllDataLabel" ma:web="e56e5f23-9f8f-45a2-98fd-2ffbfafda1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2" ma:displayName="Title - extended title with explicative description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55B4BF-0548-45D0-A47F-FB4FFAA13B4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D32FEDD-A870-474F-A0EA-4F9BB854D7D1}">
  <ds:schemaRefs>
    <ds:schemaRef ds:uri="5d01d8c1-f250-4132-aa20-962a9147431e"/>
    <ds:schemaRef ds:uri="http://schemas.microsoft.com/office/infopath/2007/PartnerControls"/>
    <ds:schemaRef ds:uri="http://purl.org/dc/terms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e56e5f23-9f8f-45a2-98fd-2ffbfafda1e3"/>
    <ds:schemaRef ds:uri="9f07c600-72be-42c4-8727-3c68669dbd35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6D3BE0C3-0CEE-4960-B4D0-0232CF702F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d01d8c1-f250-4132-aa20-962a9147431e"/>
    <ds:schemaRef ds:uri="9f07c600-72be-42c4-8727-3c68669dbd35"/>
    <ds:schemaRef ds:uri="e56e5f23-9f8f-45a2-98fd-2ffbfafda1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3976fa30-1907-4356-8241-62ea5e1c0256}" enabled="1" method="Standard" siteId="{9a5cacd0-2bef-4dd7-ac5c-7ebe1f54f4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14</vt:i4>
      </vt:variant>
    </vt:vector>
  </HeadingPairs>
  <TitlesOfParts>
    <vt:vector size="20" baseType="lpstr">
      <vt:lpstr>TID_test_plan</vt:lpstr>
      <vt:lpstr>ESTEC_Public_holidays</vt:lpstr>
      <vt:lpstr>ESTEC_work_hrs</vt:lpstr>
      <vt:lpstr>Source</vt:lpstr>
      <vt:lpstr>Unit_conversion</vt:lpstr>
      <vt:lpstr>Check_data</vt:lpstr>
      <vt:lpstr>Activity_at_reload_date</vt:lpstr>
      <vt:lpstr>Co60constant</vt:lpstr>
      <vt:lpstr>convert_units</vt:lpstr>
      <vt:lpstr>Date_of_reload</vt:lpstr>
      <vt:lpstr>Elements</vt:lpstr>
      <vt:lpstr>form_date</vt:lpstr>
      <vt:lpstr>format_date</vt:lpstr>
      <vt:lpstr>half_life</vt:lpstr>
      <vt:lpstr>material_CF</vt:lpstr>
      <vt:lpstr>TID_test_plan!Print_Area</vt:lpstr>
      <vt:lpstr>Public_Holidays</vt:lpstr>
      <vt:lpstr>self_absorption_coefficient</vt:lpstr>
      <vt:lpstr>Warning_messages</vt:lpstr>
      <vt:lpstr>work_days</vt:lpstr>
    </vt:vector>
  </TitlesOfParts>
  <Company>European Space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Radiation Test Schedule Template - 2025</dc:title>
  <dc:creator>Michele Muschitiello</dc:creator>
  <cp:lastModifiedBy>Alessandra Costantino</cp:lastModifiedBy>
  <cp:lastPrinted>2022-01-10T18:15:29Z</cp:lastPrinted>
  <dcterms:created xsi:type="dcterms:W3CDTF">2013-01-31T09:03:15Z</dcterms:created>
  <dcterms:modified xsi:type="dcterms:W3CDTF">2026-01-21T10:45:05Z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976fa30-1907-4356-8241-62ea5e1c0256_Enabled">
    <vt:lpwstr>true</vt:lpwstr>
  </property>
  <property fmtid="{D5CDD505-2E9C-101B-9397-08002B2CF9AE}" pid="3" name="MSIP_Label_3976fa30-1907-4356-8241-62ea5e1c0256_SetDate">
    <vt:lpwstr>2023-02-13T20:13:59Z</vt:lpwstr>
  </property>
  <property fmtid="{D5CDD505-2E9C-101B-9397-08002B2CF9AE}" pid="4" name="MSIP_Label_3976fa30-1907-4356-8241-62ea5e1c0256_Method">
    <vt:lpwstr>Standard</vt:lpwstr>
  </property>
  <property fmtid="{D5CDD505-2E9C-101B-9397-08002B2CF9AE}" pid="5" name="MSIP_Label_3976fa30-1907-4356-8241-62ea5e1c0256_Name">
    <vt:lpwstr>ESA UNCLASSIFIED – For ESA Official Use Only</vt:lpwstr>
  </property>
  <property fmtid="{D5CDD505-2E9C-101B-9397-08002B2CF9AE}" pid="6" name="MSIP_Label_3976fa30-1907-4356-8241-62ea5e1c0256_SiteId">
    <vt:lpwstr>9a5cacd0-2bef-4dd7-ac5c-7ebe1f54f495</vt:lpwstr>
  </property>
  <property fmtid="{D5CDD505-2E9C-101B-9397-08002B2CF9AE}" pid="7" name="MSIP_Label_3976fa30-1907-4356-8241-62ea5e1c0256_ActionId">
    <vt:lpwstr>f05d33a1-da73-4351-9f35-ce7b2eee447a</vt:lpwstr>
  </property>
  <property fmtid="{D5CDD505-2E9C-101B-9397-08002B2CF9AE}" pid="8" name="MSIP_Label_3976fa30-1907-4356-8241-62ea5e1c0256_ContentBits">
    <vt:lpwstr>0</vt:lpwstr>
  </property>
  <property fmtid="{D5CDD505-2E9C-101B-9397-08002B2CF9AE}" pid="9" name="ContentTypeId">
    <vt:lpwstr>0x0101008D3E1FDE1AEFF54FA6B5E820D9BA36FF03005E2E58D0D572A245831851038C75F47D</vt:lpwstr>
  </property>
  <property fmtid="{D5CDD505-2E9C-101B-9397-08002B2CF9AE}" pid="10" name="Laboratory Area">
    <vt:lpwstr/>
  </property>
  <property fmtid="{D5CDD505-2E9C-101B-9397-08002B2CF9AE}" pid="11" name="Competence Domain">
    <vt:lpwstr/>
  </property>
  <property fmtid="{D5CDD505-2E9C-101B-9397-08002B2CF9AE}" pid="12" name="Project">
    <vt:lpwstr/>
  </property>
  <property fmtid="{D5CDD505-2E9C-101B-9397-08002B2CF9AE}" pid="13" name="Activity">
    <vt:lpwstr/>
  </property>
  <property fmtid="{D5CDD505-2E9C-101B-9397-08002B2CF9AE}" pid="14" name="h6f748ec1440460e8671343ff17112d9">
    <vt:lpwstr/>
  </property>
  <property fmtid="{D5CDD505-2E9C-101B-9397-08002B2CF9AE}" pid="15" name="Organisational Owner">
    <vt:lpwstr/>
  </property>
  <property fmtid="{D5CDD505-2E9C-101B-9397-08002B2CF9AE}" pid="16" name="hf761ccec8714e6cad80e73777046032">
    <vt:lpwstr/>
  </property>
</Properties>
</file>